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960" windowHeight="11760" firstSheet="3" activeTab="8"/>
  </bookViews>
  <sheets>
    <sheet name="нарматив дох" sheetId="11" r:id="rId1"/>
    <sheet name="доходы" sheetId="9" r:id="rId2"/>
    <sheet name="Ведомст (тыс.руб)" sheetId="26" r:id="rId3"/>
    <sheet name="функц (тыс.руб)" sheetId="25" r:id="rId4"/>
    <sheet name="РзПр (тыс.руб)" sheetId="27" r:id="rId5"/>
    <sheet name="КЦСР (тыс.руб)" sheetId="28" r:id="rId6"/>
    <sheet name="МБТ" sheetId="12" r:id="rId7"/>
    <sheet name="МБТ району" sheetId="13" r:id="rId8"/>
    <sheet name="прогр замств" sheetId="7" r:id="rId9"/>
    <sheet name="Мин бюджет" sheetId="15" r:id="rId10"/>
    <sheet name="Публ-прав обяз" sheetId="14" r:id="rId11"/>
    <sheet name="Методика" sheetId="16" r:id="rId12"/>
    <sheet name="муниц гарант" sheetId="8" r:id="rId13"/>
  </sheets>
  <externalReferences>
    <externalReference r:id="rId14"/>
    <externalReference r:id="rId15"/>
  </externalReferences>
  <definedNames>
    <definedName name="__bookmark_1" localSheetId="2">[1]Доходы_НОВ!#REF!</definedName>
    <definedName name="__bookmark_1" localSheetId="1">[1]Доходы_НОВ!#REF!</definedName>
    <definedName name="__bookmark_1" localSheetId="5">[1]Доходы_НОВ!#REF!</definedName>
    <definedName name="__bookmark_1" localSheetId="0">[1]Доходы_НОВ!#REF!</definedName>
    <definedName name="__bookmark_1" localSheetId="4">[1]Доходы_НОВ!#REF!</definedName>
    <definedName name="__bookmark_1" localSheetId="3">[1]Доходы_НОВ!#REF!</definedName>
    <definedName name="__bookmark_1">[1]Доходы_НОВ!#REF!</definedName>
    <definedName name="__bookmark_3" localSheetId="2">#REF!</definedName>
    <definedName name="__bookmark_3" localSheetId="1">#REF!</definedName>
    <definedName name="__bookmark_3" localSheetId="5">#REF!</definedName>
    <definedName name="__bookmark_3" localSheetId="0">#REF!</definedName>
    <definedName name="__bookmark_3" localSheetId="4">#REF!</definedName>
    <definedName name="__bookmark_3" localSheetId="3">#REF!</definedName>
    <definedName name="__bookmark_3">#REF!</definedName>
    <definedName name="__bookmark_4" localSheetId="2">#REF!</definedName>
    <definedName name="__bookmark_4" localSheetId="1">#REF!</definedName>
    <definedName name="__bookmark_4" localSheetId="5">#REF!</definedName>
    <definedName name="__bookmark_4" localSheetId="0">#REF!</definedName>
    <definedName name="__bookmark_4" localSheetId="4">#REF!</definedName>
    <definedName name="__bookmark_4" localSheetId="3">#REF!</definedName>
    <definedName name="__bookmark_4">#REF!</definedName>
    <definedName name="__bookmark_5" localSheetId="2">#REF!</definedName>
    <definedName name="__bookmark_5" localSheetId="1">#REF!</definedName>
    <definedName name="__bookmark_5" localSheetId="5">#REF!</definedName>
    <definedName name="__bookmark_5" localSheetId="0">#REF!</definedName>
    <definedName name="__bookmark_5" localSheetId="4">#REF!</definedName>
    <definedName name="__bookmark_5" localSheetId="3">#REF!</definedName>
    <definedName name="__bookmark_5">#REF!</definedName>
    <definedName name="_xlnm._FilterDatabase" localSheetId="2" hidden="1">'Ведомст (тыс.руб)'!$M$13:$Z$179</definedName>
    <definedName name="_xlnm._FilterDatabase" localSheetId="5" hidden="1">'КЦСР (тыс.руб)'!$M$13:$Z$155</definedName>
    <definedName name="_xlnm._FilterDatabase" localSheetId="4" hidden="1">'РзПр (тыс.руб)'!$M$8:$Z$170</definedName>
    <definedName name="_xlnm.Print_Area" localSheetId="1">доходы!$B$1:$F$114</definedName>
    <definedName name="_xlnm.Print_Area" localSheetId="12">'муниц гарант'!$A$1:$K$22</definedName>
    <definedName name="_xlnm.Print_Area" localSheetId="0">'нарматив дох'!$A$1:$C$99</definedName>
    <definedName name="_xlnm.Print_Area" localSheetId="8">'прогр замств'!$A$1:$D$22</definedName>
    <definedName name="ттт" localSheetId="2">[1]Доходы_НОВ!#REF!</definedName>
    <definedName name="ттт" localSheetId="5">[1]Доходы_НОВ!#REF!</definedName>
    <definedName name="ттт" localSheetId="4">[1]Доходы_НОВ!#REF!</definedName>
    <definedName name="ттт" localSheetId="3">[1]Доходы_НОВ!#REF!</definedName>
    <definedName name="ттт">[1]Доходы_НОВ!#REF!</definedName>
  </definedNames>
  <calcPr calcId="144525"/>
</workbook>
</file>

<file path=xl/calcChain.xml><?xml version="1.0" encoding="utf-8"?>
<calcChain xmlns="http://schemas.openxmlformats.org/spreadsheetml/2006/main">
  <c r="K135" i="26" l="1"/>
  <c r="L56" i="28" l="1"/>
  <c r="L55" i="28"/>
  <c r="L54" i="28"/>
  <c r="L53" i="28"/>
  <c r="L52" i="28"/>
  <c r="L51" i="28"/>
  <c r="L48" i="28"/>
  <c r="L49" i="28"/>
  <c r="L50" i="28"/>
  <c r="L47" i="28"/>
  <c r="L44" i="28"/>
  <c r="L45" i="28"/>
  <c r="L46" i="28"/>
  <c r="L43" i="28"/>
  <c r="L40" i="28"/>
  <c r="L41" i="28"/>
  <c r="L42" i="28"/>
  <c r="L39" i="28"/>
  <c r="L37" i="28"/>
  <c r="L38" i="28"/>
  <c r="L36" i="28"/>
  <c r="L35" i="28"/>
  <c r="L34" i="28"/>
  <c r="L33" i="28"/>
  <c r="L32" i="28"/>
  <c r="L31" i="28"/>
  <c r="L30" i="28"/>
  <c r="L29" i="28"/>
  <c r="L27" i="28"/>
  <c r="L28" i="28"/>
  <c r="L26" i="28"/>
  <c r="L24" i="28"/>
  <c r="L25" i="28"/>
  <c r="L23" i="28"/>
  <c r="L19" i="28"/>
  <c r="L18" i="28"/>
  <c r="L17" i="28"/>
  <c r="L15" i="28"/>
  <c r="L16" i="28"/>
  <c r="L14" i="28"/>
  <c r="L13" i="28"/>
  <c r="L111" i="28"/>
  <c r="L121" i="28"/>
  <c r="L120" i="28"/>
  <c r="K121" i="28"/>
  <c r="K120" i="28"/>
  <c r="L116" i="28"/>
  <c r="K116" i="28"/>
  <c r="L115" i="28"/>
  <c r="K115" i="28"/>
  <c r="L114" i="28"/>
  <c r="K114" i="28"/>
  <c r="L113" i="28"/>
  <c r="K113" i="28"/>
  <c r="L112" i="28"/>
  <c r="K112" i="28"/>
  <c r="K111" i="28"/>
  <c r="K110" i="28"/>
  <c r="K109" i="28"/>
  <c r="K108" i="28"/>
  <c r="L107" i="28"/>
  <c r="K107" i="28"/>
  <c r="L104" i="28"/>
  <c r="L105" i="28"/>
  <c r="L106" i="28"/>
  <c r="K104" i="28"/>
  <c r="K105" i="28"/>
  <c r="K106" i="28"/>
  <c r="L103" i="28"/>
  <c r="K103" i="28"/>
  <c r="L101" i="28"/>
  <c r="L102" i="28"/>
  <c r="L100" i="28"/>
  <c r="K101" i="28"/>
  <c r="K102" i="28"/>
  <c r="K100" i="28"/>
  <c r="L98" i="28"/>
  <c r="L99" i="28"/>
  <c r="K98" i="28"/>
  <c r="K99" i="28"/>
  <c r="L97" i="28"/>
  <c r="K97" i="28"/>
  <c r="L95" i="28"/>
  <c r="L96" i="28"/>
  <c r="K95" i="28"/>
  <c r="K96" i="28"/>
  <c r="L94" i="28"/>
  <c r="K94" i="28"/>
  <c r="L92" i="28"/>
  <c r="L93" i="28"/>
  <c r="K92" i="28"/>
  <c r="K93" i="28"/>
  <c r="L91" i="28"/>
  <c r="K91" i="28"/>
  <c r="K89" i="28"/>
  <c r="L89" i="28"/>
  <c r="K90" i="28"/>
  <c r="L90" i="28"/>
  <c r="L88" i="28"/>
  <c r="K88" i="28"/>
  <c r="L81" i="28"/>
  <c r="K81" i="28"/>
  <c r="L80" i="28"/>
  <c r="K80" i="28"/>
  <c r="L79" i="28"/>
  <c r="K79" i="28"/>
  <c r="L78" i="28"/>
  <c r="K78" i="28"/>
  <c r="L77" i="28"/>
  <c r="K77" i="28"/>
  <c r="L76" i="28"/>
  <c r="K76" i="28"/>
  <c r="L75" i="28"/>
  <c r="K75" i="28"/>
  <c r="L74" i="28"/>
  <c r="K74" i="28"/>
  <c r="L73" i="28"/>
  <c r="K73" i="28"/>
  <c r="L72" i="28"/>
  <c r="K72" i="28"/>
  <c r="L71" i="28"/>
  <c r="K71" i="28"/>
  <c r="L69" i="28"/>
  <c r="L70" i="28"/>
  <c r="K69" i="28"/>
  <c r="K70" i="28"/>
  <c r="K68" i="28"/>
  <c r="L68" i="28"/>
  <c r="L67" i="28"/>
  <c r="L66" i="28"/>
  <c r="L65" i="28"/>
  <c r="K67" i="28"/>
  <c r="K66" i="28"/>
  <c r="K65" i="28"/>
  <c r="L58" i="28"/>
  <c r="L59" i="28"/>
  <c r="L60" i="28"/>
  <c r="L57" i="28"/>
  <c r="L62" i="28"/>
  <c r="L63" i="28"/>
  <c r="L64" i="28"/>
  <c r="L61" i="28"/>
  <c r="K62" i="28"/>
  <c r="K63" i="28"/>
  <c r="K64" i="28"/>
  <c r="K61" i="28"/>
  <c r="K58" i="28"/>
  <c r="K59" i="28"/>
  <c r="K60" i="28"/>
  <c r="K57" i="28"/>
  <c r="K56" i="28"/>
  <c r="K55" i="28"/>
  <c r="K54" i="28"/>
  <c r="K53" i="28"/>
  <c r="K52" i="28"/>
  <c r="K51" i="28"/>
  <c r="K49" i="28"/>
  <c r="K50" i="28"/>
  <c r="K48" i="28"/>
  <c r="K47" i="28"/>
  <c r="K44" i="28"/>
  <c r="K45" i="28"/>
  <c r="K46" i="28"/>
  <c r="K43" i="28"/>
  <c r="K40" i="28"/>
  <c r="K41" i="28"/>
  <c r="K42" i="28"/>
  <c r="K39" i="28"/>
  <c r="K36" i="28"/>
  <c r="K37" i="28"/>
  <c r="K38" i="28"/>
  <c r="K35" i="28"/>
  <c r="K34" i="28"/>
  <c r="K32" i="28"/>
  <c r="K33" i="28"/>
  <c r="K31" i="28"/>
  <c r="K30" i="28"/>
  <c r="K29" i="28"/>
  <c r="K27" i="28"/>
  <c r="K28" i="28"/>
  <c r="K26" i="28"/>
  <c r="K24" i="28"/>
  <c r="K25" i="28"/>
  <c r="K23" i="28"/>
  <c r="K19" i="28"/>
  <c r="K18" i="28"/>
  <c r="K17" i="28"/>
  <c r="K14" i="28"/>
  <c r="K15" i="28"/>
  <c r="K16" i="28"/>
  <c r="K13" i="28"/>
  <c r="J121" i="28"/>
  <c r="J118" i="28"/>
  <c r="J119" i="28"/>
  <c r="J117" i="28"/>
  <c r="J115" i="28"/>
  <c r="J116" i="28"/>
  <c r="J114" i="28"/>
  <c r="J112" i="28"/>
  <c r="J113" i="28"/>
  <c r="J111" i="28"/>
  <c r="J109" i="28"/>
  <c r="J110" i="28"/>
  <c r="J108" i="28"/>
  <c r="J107" i="28"/>
  <c r="J104" i="28"/>
  <c r="J105" i="28"/>
  <c r="J106" i="28"/>
  <c r="J103" i="28"/>
  <c r="J101" i="28"/>
  <c r="J102" i="28"/>
  <c r="J100" i="28"/>
  <c r="J98" i="28"/>
  <c r="J99" i="28"/>
  <c r="J97" i="28"/>
  <c r="J95" i="28"/>
  <c r="J96" i="28"/>
  <c r="J94" i="28"/>
  <c r="J92" i="28"/>
  <c r="J93" i="28"/>
  <c r="J91" i="28"/>
  <c r="J89" i="28"/>
  <c r="J90" i="28"/>
  <c r="J88" i="28"/>
  <c r="J86" i="28"/>
  <c r="J87" i="28"/>
  <c r="J85" i="28"/>
  <c r="J83" i="28"/>
  <c r="J84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2" i="28"/>
  <c r="J63" i="28"/>
  <c r="J64" i="28"/>
  <c r="J61" i="28"/>
  <c r="J60" i="28"/>
  <c r="J59" i="28"/>
  <c r="J58" i="28"/>
  <c r="J57" i="28"/>
  <c r="J56" i="28"/>
  <c r="J55" i="28"/>
  <c r="J54" i="28"/>
  <c r="J53" i="28"/>
  <c r="J52" i="28"/>
  <c r="J51" i="28"/>
  <c r="J48" i="28"/>
  <c r="J49" i="28"/>
  <c r="J50" i="28"/>
  <c r="J47" i="28"/>
  <c r="J46" i="28"/>
  <c r="J45" i="28"/>
  <c r="J44" i="28"/>
  <c r="J43" i="28"/>
  <c r="J40" i="28"/>
  <c r="J41" i="28"/>
  <c r="J42" i="28"/>
  <c r="J39" i="28"/>
  <c r="J36" i="28"/>
  <c r="J37" i="28"/>
  <c r="J38" i="28"/>
  <c r="J35" i="28"/>
  <c r="J32" i="28"/>
  <c r="J33" i="28"/>
  <c r="J34" i="28"/>
  <c r="J31" i="28"/>
  <c r="J30" i="28"/>
  <c r="J29" i="28"/>
  <c r="J27" i="28"/>
  <c r="J28" i="28"/>
  <c r="J26" i="28"/>
  <c r="J24" i="28"/>
  <c r="J25" i="28"/>
  <c r="J23" i="28"/>
  <c r="J22" i="28"/>
  <c r="J21" i="28"/>
  <c r="J20" i="28"/>
  <c r="J19" i="28"/>
  <c r="J18" i="28"/>
  <c r="J17" i="28"/>
  <c r="J15" i="28"/>
  <c r="J16" i="28"/>
  <c r="J14" i="28"/>
  <c r="J13" i="28"/>
  <c r="L135" i="27"/>
  <c r="L136" i="27"/>
  <c r="L137" i="27"/>
  <c r="L138" i="27"/>
  <c r="L139" i="27"/>
  <c r="L134" i="27"/>
  <c r="L133" i="27"/>
  <c r="L128" i="27"/>
  <c r="L129" i="27"/>
  <c r="L130" i="27"/>
  <c r="L131" i="27"/>
  <c r="L132" i="27"/>
  <c r="L127" i="27"/>
  <c r="L126" i="27"/>
  <c r="L125" i="27"/>
  <c r="L124" i="27"/>
  <c r="L123" i="27"/>
  <c r="L122" i="27"/>
  <c r="L119" i="27"/>
  <c r="L118" i="27"/>
  <c r="L117" i="27"/>
  <c r="L116" i="27"/>
  <c r="L115" i="27"/>
  <c r="L113" i="27"/>
  <c r="L114" i="27"/>
  <c r="L112" i="27"/>
  <c r="L111" i="27"/>
  <c r="L110" i="27"/>
  <c r="L109" i="27"/>
  <c r="L108" i="27"/>
  <c r="L107" i="27"/>
  <c r="L106" i="27"/>
  <c r="L101" i="27"/>
  <c r="L102" i="27"/>
  <c r="L103" i="27"/>
  <c r="L104" i="27"/>
  <c r="L105" i="27"/>
  <c r="L100" i="27"/>
  <c r="L95" i="27"/>
  <c r="L96" i="27"/>
  <c r="L97" i="27"/>
  <c r="L98" i="27"/>
  <c r="L99" i="27"/>
  <c r="L94" i="27"/>
  <c r="L93" i="27"/>
  <c r="L91" i="27"/>
  <c r="L92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4" i="27"/>
  <c r="L75" i="27"/>
  <c r="L76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48" i="27"/>
  <c r="L47" i="27"/>
  <c r="L46" i="27"/>
  <c r="L45" i="27"/>
  <c r="L44" i="27"/>
  <c r="L43" i="27"/>
  <c r="L42" i="27"/>
  <c r="L35" i="27"/>
  <c r="L34" i="27"/>
  <c r="L33" i="27"/>
  <c r="L32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3" i="27"/>
  <c r="L14" i="27"/>
  <c r="L15" i="27"/>
  <c r="L16" i="27"/>
  <c r="L17" i="27"/>
  <c r="L12" i="27"/>
  <c r="K134" i="27"/>
  <c r="K135" i="27"/>
  <c r="K136" i="27"/>
  <c r="K137" i="27"/>
  <c r="K138" i="27"/>
  <c r="K139" i="27"/>
  <c r="K133" i="27"/>
  <c r="K128" i="27"/>
  <c r="K129" i="27"/>
  <c r="K130" i="27"/>
  <c r="K131" i="27"/>
  <c r="K132" i="27"/>
  <c r="K127" i="27"/>
  <c r="K126" i="27"/>
  <c r="K125" i="27"/>
  <c r="K124" i="27"/>
  <c r="K123" i="27"/>
  <c r="K122" i="27"/>
  <c r="K119" i="27"/>
  <c r="K118" i="27"/>
  <c r="K117" i="27"/>
  <c r="K116" i="27"/>
  <c r="K115" i="27"/>
  <c r="K114" i="27"/>
  <c r="K113" i="27"/>
  <c r="K112" i="27"/>
  <c r="K111" i="27"/>
  <c r="K110" i="27"/>
  <c r="K109" i="27"/>
  <c r="K108" i="27"/>
  <c r="K107" i="27"/>
  <c r="K106" i="27"/>
  <c r="K105" i="27"/>
  <c r="K104" i="27"/>
  <c r="K103" i="27"/>
  <c r="K102" i="27"/>
  <c r="K101" i="27"/>
  <c r="K100" i="27"/>
  <c r="K95" i="27"/>
  <c r="K96" i="27"/>
  <c r="K97" i="27"/>
  <c r="K98" i="27"/>
  <c r="K99" i="27"/>
  <c r="K94" i="27"/>
  <c r="K93" i="27"/>
  <c r="K88" i="27"/>
  <c r="K89" i="27"/>
  <c r="K90" i="27"/>
  <c r="K91" i="27"/>
  <c r="K92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1" i="27"/>
  <c r="K68" i="27"/>
  <c r="K69" i="27"/>
  <c r="K70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48" i="27"/>
  <c r="K47" i="27"/>
  <c r="K46" i="27"/>
  <c r="K45" i="27"/>
  <c r="K44" i="27"/>
  <c r="K43" i="27"/>
  <c r="K42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19" i="27"/>
  <c r="K20" i="27"/>
  <c r="K18" i="27"/>
  <c r="K14" i="27"/>
  <c r="K15" i="27"/>
  <c r="K16" i="27"/>
  <c r="K17" i="27"/>
  <c r="K13" i="27"/>
  <c r="K12" i="27"/>
  <c r="K11" i="27"/>
  <c r="J135" i="27"/>
  <c r="J136" i="27"/>
  <c r="J137" i="27"/>
  <c r="J138" i="27"/>
  <c r="J139" i="27"/>
  <c r="J134" i="27"/>
  <c r="J133" i="27"/>
  <c r="J132" i="27"/>
  <c r="J131" i="27"/>
  <c r="J130" i="27"/>
  <c r="J129" i="27"/>
  <c r="J128" i="27"/>
  <c r="J127" i="27"/>
  <c r="J126" i="27"/>
  <c r="J125" i="27"/>
  <c r="J124" i="27"/>
  <c r="J123" i="27"/>
  <c r="J122" i="27"/>
  <c r="J121" i="27"/>
  <c r="J120" i="27"/>
  <c r="J119" i="27"/>
  <c r="J118" i="27"/>
  <c r="J117" i="27"/>
  <c r="J116" i="27"/>
  <c r="J115" i="27"/>
  <c r="J114" i="27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95" i="27"/>
  <c r="J94" i="27"/>
  <c r="J93" i="27"/>
  <c r="J92" i="27"/>
  <c r="J91" i="27"/>
  <c r="J90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M142" i="26"/>
  <c r="M141" i="26"/>
  <c r="M140" i="26"/>
  <c r="M139" i="26"/>
  <c r="M138" i="26"/>
  <c r="M137" i="26"/>
  <c r="M136" i="26"/>
  <c r="M135" i="26"/>
  <c r="M134" i="26"/>
  <c r="M133" i="26"/>
  <c r="M132" i="26"/>
  <c r="M131" i="26"/>
  <c r="M130" i="26"/>
  <c r="M129" i="26"/>
  <c r="M128" i="26"/>
  <c r="M127" i="26"/>
  <c r="M126" i="26"/>
  <c r="M125" i="26"/>
  <c r="M122" i="26"/>
  <c r="M121" i="26"/>
  <c r="M120" i="26"/>
  <c r="M119" i="26"/>
  <c r="M118" i="26"/>
  <c r="M117" i="26"/>
  <c r="M116" i="26"/>
  <c r="M115" i="26"/>
  <c r="M114" i="26"/>
  <c r="M113" i="26"/>
  <c r="M112" i="26"/>
  <c r="M111" i="26"/>
  <c r="M110" i="26"/>
  <c r="M109" i="26"/>
  <c r="M108" i="26"/>
  <c r="M107" i="26"/>
  <c r="M106" i="26"/>
  <c r="M105" i="26"/>
  <c r="M104" i="26"/>
  <c r="M103" i="26"/>
  <c r="M102" i="26"/>
  <c r="M101" i="26"/>
  <c r="M100" i="26"/>
  <c r="M99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3" i="26"/>
  <c r="M82" i="26"/>
  <c r="M81" i="26"/>
  <c r="M80" i="26"/>
  <c r="M79" i="26"/>
  <c r="M78" i="26"/>
  <c r="M77" i="26"/>
  <c r="M76" i="26"/>
  <c r="M75" i="26"/>
  <c r="M74" i="26"/>
  <c r="M73" i="26"/>
  <c r="M72" i="26"/>
  <c r="M71" i="26"/>
  <c r="M70" i="26"/>
  <c r="M69" i="26"/>
  <c r="M68" i="26"/>
  <c r="M67" i="26"/>
  <c r="M66" i="26"/>
  <c r="M65" i="26"/>
  <c r="M64" i="26"/>
  <c r="M63" i="26"/>
  <c r="M62" i="26"/>
  <c r="M61" i="26"/>
  <c r="M60" i="26"/>
  <c r="M59" i="26"/>
  <c r="M58" i="26"/>
  <c r="M57" i="26"/>
  <c r="M56" i="26"/>
  <c r="M51" i="26"/>
  <c r="M50" i="26"/>
  <c r="M49" i="26"/>
  <c r="M48" i="26"/>
  <c r="M47" i="26"/>
  <c r="M46" i="26"/>
  <c r="M45" i="26"/>
  <c r="M38" i="26"/>
  <c r="M37" i="26"/>
  <c r="M36" i="26"/>
  <c r="M35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M143" i="26"/>
  <c r="L143" i="26"/>
  <c r="L142" i="26"/>
  <c r="L141" i="26"/>
  <c r="L140" i="26"/>
  <c r="L139" i="26"/>
  <c r="L138" i="26"/>
  <c r="L137" i="26"/>
  <c r="L136" i="26"/>
  <c r="L135" i="26"/>
  <c r="L134" i="26"/>
  <c r="L133" i="26"/>
  <c r="L132" i="26"/>
  <c r="L131" i="26"/>
  <c r="L130" i="26"/>
  <c r="L129" i="26"/>
  <c r="L128" i="26"/>
  <c r="L127" i="26"/>
  <c r="L126" i="26"/>
  <c r="L125" i="26"/>
  <c r="L122" i="26"/>
  <c r="L121" i="26"/>
  <c r="L120" i="26"/>
  <c r="L119" i="26"/>
  <c r="L118" i="26"/>
  <c r="L117" i="26"/>
  <c r="L116" i="26"/>
  <c r="L115" i="26"/>
  <c r="L114" i="26"/>
  <c r="L113" i="26"/>
  <c r="L112" i="26"/>
  <c r="L111" i="26"/>
  <c r="L110" i="26"/>
  <c r="L109" i="26"/>
  <c r="L108" i="26"/>
  <c r="L107" i="26"/>
  <c r="L106" i="26"/>
  <c r="L105" i="26"/>
  <c r="L104" i="26"/>
  <c r="L103" i="26"/>
  <c r="L102" i="26"/>
  <c r="L101" i="26"/>
  <c r="L100" i="26"/>
  <c r="L99" i="26"/>
  <c r="L98" i="26"/>
  <c r="L97" i="26"/>
  <c r="L96" i="26"/>
  <c r="L95" i="26"/>
  <c r="L94" i="26"/>
  <c r="L93" i="26"/>
  <c r="L92" i="26"/>
  <c r="L91" i="26"/>
  <c r="L90" i="26"/>
  <c r="L89" i="26"/>
  <c r="L88" i="26"/>
  <c r="L87" i="26"/>
  <c r="L86" i="26"/>
  <c r="L85" i="26"/>
  <c r="L84" i="26"/>
  <c r="L83" i="26"/>
  <c r="L82" i="26"/>
  <c r="L81" i="26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1" i="26"/>
  <c r="L50" i="26"/>
  <c r="L49" i="26"/>
  <c r="L48" i="26"/>
  <c r="L47" i="26"/>
  <c r="L46" i="26"/>
  <c r="L45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M144" i="26"/>
  <c r="L144" i="26"/>
  <c r="K144" i="26"/>
  <c r="K142" i="26"/>
  <c r="K141" i="26"/>
  <c r="K140" i="26"/>
  <c r="K139" i="26"/>
  <c r="K138" i="26"/>
  <c r="K137" i="26"/>
  <c r="K136" i="26"/>
  <c r="K134" i="26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2" i="26"/>
  <c r="K113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4" i="25"/>
  <c r="G13" i="25"/>
  <c r="G12" i="25"/>
  <c r="F12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4" i="25"/>
  <c r="F13" i="25"/>
  <c r="E36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D8" i="13" l="1"/>
  <c r="E8" i="13"/>
  <c r="F34" i="9" l="1"/>
  <c r="E94" i="9"/>
  <c r="E29" i="9" l="1"/>
  <c r="E25" i="9"/>
  <c r="D83" i="9" l="1"/>
  <c r="D34" i="9"/>
  <c r="J14" i="14" l="1"/>
  <c r="I14" i="14"/>
  <c r="H14" i="14"/>
  <c r="C8" i="13"/>
  <c r="F48" i="12"/>
  <c r="F47" i="12" s="1"/>
  <c r="F46" i="12" s="1"/>
  <c r="E48" i="12"/>
  <c r="D48" i="12"/>
  <c r="D47" i="12" s="1"/>
  <c r="D46" i="12" s="1"/>
  <c r="E47" i="12"/>
  <c r="E46" i="12" s="1"/>
  <c r="F45" i="12"/>
  <c r="F44" i="12" s="1"/>
  <c r="F43" i="12" s="1"/>
  <c r="F42" i="12" s="1"/>
  <c r="E45" i="12"/>
  <c r="E44" i="12" s="1"/>
  <c r="E43" i="12" s="1"/>
  <c r="E42" i="12" s="1"/>
  <c r="D44" i="12"/>
  <c r="D43" i="12" s="1"/>
  <c r="D42" i="12" s="1"/>
  <c r="F40" i="12"/>
  <c r="E40" i="12"/>
  <c r="D40" i="12"/>
  <c r="E38" i="12"/>
  <c r="F38" i="12"/>
  <c r="D38" i="12"/>
  <c r="F35" i="12"/>
  <c r="E36" i="12"/>
  <c r="E35" i="12" s="1"/>
  <c r="D36" i="12"/>
  <c r="D35" i="12" s="1"/>
  <c r="F34" i="12"/>
  <c r="F33" i="12" s="1"/>
  <c r="E34" i="12"/>
  <c r="D34" i="12"/>
  <c r="D33" i="12" s="1"/>
  <c r="E33" i="12"/>
  <c r="F32" i="12"/>
  <c r="F31" i="12" s="1"/>
  <c r="E32" i="12"/>
  <c r="D32" i="12"/>
  <c r="D31" i="12" s="1"/>
  <c r="E31" i="12"/>
  <c r="F30" i="12"/>
  <c r="E30" i="12"/>
  <c r="D30" i="12"/>
  <c r="E29" i="12"/>
  <c r="D29" i="12"/>
  <c r="F28" i="12"/>
  <c r="F27" i="12" s="1"/>
  <c r="E28" i="12"/>
  <c r="E27" i="12" s="1"/>
  <c r="D28" i="12"/>
  <c r="D27" i="12" s="1"/>
  <c r="F23" i="12"/>
  <c r="F22" i="12" s="1"/>
  <c r="E23" i="12"/>
  <c r="E22" i="12" s="1"/>
  <c r="F21" i="12"/>
  <c r="E21" i="12"/>
  <c r="F20" i="12"/>
  <c r="E20" i="12"/>
  <c r="D20" i="12"/>
  <c r="F19" i="12"/>
  <c r="E19" i="12"/>
  <c r="F18" i="12"/>
  <c r="E18" i="12"/>
  <c r="D18" i="12"/>
  <c r="F17" i="12"/>
  <c r="E17" i="12"/>
  <c r="F16" i="12" l="1"/>
  <c r="F15" i="12" s="1"/>
  <c r="D26" i="12"/>
  <c r="E16" i="12"/>
  <c r="E15" i="12" s="1"/>
  <c r="E14" i="12" s="1"/>
  <c r="D23" i="12"/>
  <c r="D22" i="12" s="1"/>
  <c r="E26" i="12"/>
  <c r="F26" i="12"/>
  <c r="D16" i="12"/>
  <c r="D15" i="12" s="1"/>
  <c r="D37" i="12"/>
  <c r="F14" i="12"/>
  <c r="F37" i="12"/>
  <c r="E37" i="12"/>
  <c r="E13" i="12" l="1"/>
  <c r="E12" i="12" s="1"/>
  <c r="D14" i="12"/>
  <c r="D13" i="12" s="1"/>
  <c r="D12" i="12" s="1"/>
  <c r="F13" i="12"/>
  <c r="F12" i="12" s="1"/>
  <c r="E47" i="9" l="1"/>
  <c r="E14" i="9"/>
  <c r="D14" i="9"/>
  <c r="D32" i="9" l="1"/>
  <c r="F89" i="9" l="1"/>
  <c r="F88" i="9" s="1"/>
  <c r="E89" i="9"/>
  <c r="E88" i="9" s="1"/>
  <c r="D89" i="9" l="1"/>
  <c r="D88" i="9" s="1"/>
  <c r="F14" i="9" l="1"/>
  <c r="D29" i="9"/>
  <c r="F94" i="9" l="1"/>
  <c r="D94" i="9"/>
  <c r="F96" i="9"/>
  <c r="E96" i="9"/>
  <c r="D96" i="9"/>
  <c r="E34" i="9"/>
  <c r="F32" i="9" l="1"/>
  <c r="E32" i="9"/>
  <c r="F111" i="9" l="1"/>
  <c r="F110" i="9" s="1"/>
  <c r="E111" i="9"/>
  <c r="D111" i="9"/>
  <c r="D110" i="9" s="1"/>
  <c r="E110" i="9"/>
  <c r="F101" i="9"/>
  <c r="E101" i="9"/>
  <c r="D101" i="9"/>
  <c r="F99" i="9"/>
  <c r="E99" i="9"/>
  <c r="D99" i="9"/>
  <c r="D98" i="9"/>
  <c r="F92" i="9"/>
  <c r="E92" i="9"/>
  <c r="D92" i="9"/>
  <c r="D91" i="9" s="1"/>
  <c r="F83" i="9"/>
  <c r="E83" i="9"/>
  <c r="F80" i="9"/>
  <c r="F79" i="9" s="1"/>
  <c r="E80" i="9"/>
  <c r="E79" i="9" s="1"/>
  <c r="D80" i="9"/>
  <c r="D79" i="9" s="1"/>
  <c r="D78" i="9" s="1"/>
  <c r="F74" i="9"/>
  <c r="E74" i="9"/>
  <c r="D74" i="9"/>
  <c r="F72" i="9"/>
  <c r="E72" i="9"/>
  <c r="D72" i="9"/>
  <c r="D71" i="9" s="1"/>
  <c r="F69" i="9"/>
  <c r="F68" i="9" s="1"/>
  <c r="E69" i="9"/>
  <c r="E68" i="9" s="1"/>
  <c r="D69" i="9"/>
  <c r="D68" i="9" s="1"/>
  <c r="F66" i="9"/>
  <c r="F65" i="9" s="1"/>
  <c r="E66" i="9"/>
  <c r="E65" i="9" s="1"/>
  <c r="D66" i="9"/>
  <c r="D65" i="9" s="1"/>
  <c r="F63" i="9"/>
  <c r="F62" i="9" s="1"/>
  <c r="E63" i="9"/>
  <c r="E62" i="9" s="1"/>
  <c r="D63" i="9"/>
  <c r="D62" i="9" s="1"/>
  <c r="F60" i="9"/>
  <c r="F59" i="9" s="1"/>
  <c r="E60" i="9"/>
  <c r="E59" i="9" s="1"/>
  <c r="D60" i="9"/>
  <c r="D59" i="9" s="1"/>
  <c r="F56" i="9"/>
  <c r="E56" i="9"/>
  <c r="D56" i="9"/>
  <c r="F54" i="9"/>
  <c r="E54" i="9"/>
  <c r="D54" i="9"/>
  <c r="D53" i="9" s="1"/>
  <c r="D52" i="9" s="1"/>
  <c r="F50" i="9"/>
  <c r="F49" i="9" s="1"/>
  <c r="E50" i="9"/>
  <c r="E49" i="9" s="1"/>
  <c r="D50" i="9"/>
  <c r="D49" i="9" s="1"/>
  <c r="F47" i="9"/>
  <c r="D47" i="9"/>
  <c r="F45" i="9"/>
  <c r="E45" i="9"/>
  <c r="D45" i="9"/>
  <c r="F41" i="9"/>
  <c r="F40" i="9" s="1"/>
  <c r="F39" i="9" s="1"/>
  <c r="E41" i="9"/>
  <c r="E40" i="9" s="1"/>
  <c r="E39" i="9" s="1"/>
  <c r="D41" i="9"/>
  <c r="D40" i="9" s="1"/>
  <c r="D39" i="9" s="1"/>
  <c r="F37" i="9"/>
  <c r="F36" i="9" s="1"/>
  <c r="E37" i="9"/>
  <c r="E36" i="9" s="1"/>
  <c r="D37" i="9"/>
  <c r="D36" i="9" s="1"/>
  <c r="F29" i="9"/>
  <c r="F25" i="9"/>
  <c r="F24" i="9" s="1"/>
  <c r="E24" i="9"/>
  <c r="D25" i="9"/>
  <c r="D24" i="9" s="1"/>
  <c r="F19" i="9"/>
  <c r="F18" i="9" s="1"/>
  <c r="E19" i="9"/>
  <c r="E18" i="9" s="1"/>
  <c r="D19" i="9"/>
  <c r="D18" i="9" s="1"/>
  <c r="F13" i="9"/>
  <c r="E13" i="9"/>
  <c r="D13" i="9"/>
  <c r="D77" i="9" l="1"/>
  <c r="E71" i="9"/>
  <c r="F44" i="9"/>
  <c r="F43" i="9" s="1"/>
  <c r="E44" i="9"/>
  <c r="E43" i="9" s="1"/>
  <c r="D44" i="9"/>
  <c r="D43" i="9" s="1"/>
  <c r="F91" i="9"/>
  <c r="F53" i="9"/>
  <c r="F52" i="9" s="1"/>
  <c r="E58" i="9"/>
  <c r="D58" i="9"/>
  <c r="E78" i="9"/>
  <c r="F78" i="9"/>
  <c r="E91" i="9"/>
  <c r="E98" i="9"/>
  <c r="F31" i="9"/>
  <c r="F28" i="9" s="1"/>
  <c r="D31" i="9"/>
  <c r="D28" i="9" s="1"/>
  <c r="E31" i="9"/>
  <c r="E28" i="9" s="1"/>
  <c r="F58" i="9"/>
  <c r="F98" i="9"/>
  <c r="E53" i="9"/>
  <c r="E52" i="9" s="1"/>
  <c r="F71" i="9"/>
  <c r="E77" i="9" l="1"/>
  <c r="E76" i="9" s="1"/>
  <c r="F77" i="9"/>
  <c r="F76" i="9" s="1"/>
  <c r="E12" i="9"/>
  <c r="D12" i="9"/>
  <c r="D76" i="9"/>
  <c r="F12" i="9"/>
  <c r="E114" i="9" l="1"/>
  <c r="F114" i="9"/>
  <c r="D114" i="9"/>
</calcChain>
</file>

<file path=xl/sharedStrings.xml><?xml version="1.0" encoding="utf-8"?>
<sst xmlns="http://schemas.openxmlformats.org/spreadsheetml/2006/main" count="3045" uniqueCount="644">
  <si>
    <t>ВСЕГО РАСХОДОВ</t>
  </si>
  <si>
    <t/>
  </si>
  <si>
    <t>Условно утвержденные расходы</t>
  </si>
  <si>
    <t>00000</t>
  </si>
  <si>
    <t>00</t>
  </si>
  <si>
    <t>0</t>
  </si>
  <si>
    <t>01</t>
  </si>
  <si>
    <t>85</t>
  </si>
  <si>
    <t>310</t>
  </si>
  <si>
    <t>Публичные нормативные социальные выплаты гражданам</t>
  </si>
  <si>
    <t>Пенсионное обеспечение</t>
  </si>
  <si>
    <t>СОЦИАЛЬНАЯ ПОЛИТИКА</t>
  </si>
  <si>
    <t>610</t>
  </si>
  <si>
    <t>70011</t>
  </si>
  <si>
    <t>81</t>
  </si>
  <si>
    <t>Субсидии бюджетным учреждениям</t>
  </si>
  <si>
    <t>Сохранение и развитие культуры</t>
  </si>
  <si>
    <t>Культура</t>
  </si>
  <si>
    <t>КУЛЬТУРА, КИНЕМАТОГРАФИЯ</t>
  </si>
  <si>
    <t>240</t>
  </si>
  <si>
    <t>90038</t>
  </si>
  <si>
    <t>03</t>
  </si>
  <si>
    <t>Иные закупки товаров, работ и услуг для обеспечения государственных (муниципальных) нужд</t>
  </si>
  <si>
    <t>Освещение улиц</t>
  </si>
  <si>
    <t>90036</t>
  </si>
  <si>
    <t>Благоустройство</t>
  </si>
  <si>
    <t>90035</t>
  </si>
  <si>
    <t>Мероприятия в области коммунального хозяйства</t>
  </si>
  <si>
    <t>Коммунальное хозяйство</t>
  </si>
  <si>
    <t>90032</t>
  </si>
  <si>
    <t>02</t>
  </si>
  <si>
    <t>4</t>
  </si>
  <si>
    <t>Мероприятия в области жилищного фонда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</si>
  <si>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</si>
  <si>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</si>
  <si>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</si>
  <si>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90050</t>
  </si>
  <si>
    <t>06</t>
  </si>
  <si>
    <t>Содержание сети автомобильных дорог общего пользования местного значения</t>
  </si>
  <si>
    <t>05</t>
  </si>
  <si>
    <t>Дорожное хозяйство (дорожные фонды)</t>
  </si>
  <si>
    <t>НАЦИОНАЛЬНАЯ ЭКОНОМИКА</t>
  </si>
  <si>
    <t>90053</t>
  </si>
  <si>
    <t>Обеспечение первичных мер пожарной безопасности в границах населенных пунктов поселения</t>
  </si>
  <si>
    <t>75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</si>
  <si>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</si>
  <si>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</si>
  <si>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</si>
  <si>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</si>
  <si>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</si>
  <si>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</si>
  <si>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</si>
  <si>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</si>
  <si>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</si>
  <si>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</si>
  <si>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90010</t>
  </si>
  <si>
    <t>Уплата налогов, сборов и иных платежей</t>
  </si>
  <si>
    <t>Выполнение других общегосударственных вопросов</t>
  </si>
  <si>
    <t>90004</t>
  </si>
  <si>
    <t>Уплата членских взносов</t>
  </si>
  <si>
    <t>Другие общегосударственные вопросы</t>
  </si>
  <si>
    <t>10002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</si>
  <si>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</si>
  <si>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</si>
  <si>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</si>
  <si>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</si>
  <si>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КОСГУ</t>
  </si>
  <si>
    <t>ВР</t>
  </si>
  <si>
    <t>ЦСР</t>
  </si>
  <si>
    <t>ПР</t>
  </si>
  <si>
    <t>РЗ</t>
  </si>
  <si>
    <t>ВЕД</t>
  </si>
  <si>
    <t>НАИМЕНОВАНИЕ</t>
  </si>
  <si>
    <t>рублей</t>
  </si>
  <si>
    <t>муниципального образования</t>
  </si>
  <si>
    <t>к решению Совета депутатов</t>
  </si>
  <si>
    <t xml:space="preserve">      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</si>
  <si>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</si>
  <si>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</si>
  <si>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</si>
  <si>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</si>
  <si>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</si>
  <si>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</si>
  <si>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</si>
  <si>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</si>
  <si>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</si>
  <si>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</si>
  <si>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</si>
  <si>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</si>
  <si>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</si>
  <si>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</si>
  <si>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</si>
  <si>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>(тыс. рублей)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</si>
  <si>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</si>
  <si>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</si>
  <si>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</si>
  <si>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</si>
  <si>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</si>
  <si>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</si>
  <si>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</si>
  <si>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</si>
  <si>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</si>
  <si>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</si>
  <si>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</si>
  <si>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</si>
  <si>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</si>
  <si>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</si>
  <si>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</si>
  <si>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</si>
  <si>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</si>
  <si>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</si>
  <si>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</si>
  <si>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</si>
  <si>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</si>
  <si>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</si>
  <si>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</si>
  <si>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</si>
  <si>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</si>
  <si>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</si>
  <si>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</si>
  <si>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</si>
  <si>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</si>
  <si>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</si>
  <si>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</si>
  <si>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</si>
  <si>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</si>
  <si>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</si>
  <si>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</si>
  <si>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</si>
  <si>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</si>
  <si>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</si>
  <si>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</si>
  <si>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</si>
  <si>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</si>
  <si>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</si>
  <si>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</si>
  <si>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</si>
  <si>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</si>
  <si>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</si>
  <si>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</si>
  <si>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</si>
  <si>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</si>
  <si>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</si>
  <si>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</si>
  <si>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</si>
  <si>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</si>
  <si>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</si>
  <si>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</si>
  <si>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</si>
  <si>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</si>
  <si>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</si>
  <si>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</si>
  <si>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</si>
  <si>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</si>
  <si>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</si>
  <si>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</si>
  <si>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</si>
  <si>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</si>
  <si>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</si>
  <si>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</si>
  <si>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</si>
  <si>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</si>
  <si>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</si>
  <si>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</si>
  <si>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</si>
  <si>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</si>
  <si>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</si>
  <si>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</si>
  <si>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</si>
  <si>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</si>
  <si>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</si>
  <si>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</si>
  <si>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</si>
  <si>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</si>
  <si>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</si>
  <si>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</si>
  <si>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</si>
  <si>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</si>
  <si>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</si>
  <si>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</si>
  <si>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</si>
  <si>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</si>
  <si>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</si>
  <si>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</si>
  <si>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</si>
  <si>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</si>
  <si>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</si>
  <si>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</si>
  <si>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</si>
  <si>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</si>
  <si>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</si>
  <si>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</si>
  <si>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</si>
  <si>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</si>
  <si>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</si>
  <si>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</si>
  <si>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</si>
  <si>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</si>
  <si>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</si>
  <si>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</si>
  <si>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</si>
  <si>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</si>
  <si>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</si>
  <si>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</si>
  <si>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</si>
  <si>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</si>
  <si>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</si>
  <si>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</si>
  <si>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</si>
  <si>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</si>
  <si>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</si>
  <si>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</si>
  <si>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</si>
  <si>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</si>
  <si>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</si>
  <si>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</si>
  <si>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</si>
  <si>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</si>
  <si>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</si>
  <si>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</si>
  <si>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</si>
  <si>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</si>
  <si>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</si>
  <si>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</si>
  <si>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</si>
  <si>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</si>
  <si>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</si>
  <si>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</si>
  <si>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</si>
  <si>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</si>
  <si>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</si>
  <si>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</si>
  <si>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</si>
  <si>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</si>
  <si>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</si>
  <si>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</si>
  <si>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</si>
  <si>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</si>
  <si>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Дотации бюджетам на поддержку мер по обеспечению сбалансированности бюджетов</t>
  </si>
  <si>
    <t>2 02 15002 10 0002 151</t>
  </si>
  <si>
    <t>Дотации бюджетам сельских поселений на поддержку мер по обеспечению сбалансированности бюджетов, за счет средств районного бюджета</t>
  </si>
  <si>
    <t>Субвенции бюджетам субъектов Российской Федерации и муниципальных образований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</si>
  <si>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</si>
  <si>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</si>
  <si>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</si>
  <si>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</si>
  <si>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2 02 40000 00 0000 151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</si>
  <si>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</si>
  <si>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</si>
  <si>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</si>
  <si>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</si>
  <si>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</si>
  <si>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2 02 49999 10 0000 151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</si>
  <si>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</si>
  <si>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</si>
  <si>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</si>
  <si>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</si>
  <si>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</si>
  <si>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</si>
  <si>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</si>
  <si>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</si>
  <si>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</si>
  <si>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</si>
  <si>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</si>
  <si>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</si>
  <si>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</si>
  <si>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 xml:space="preserve">2 02 49999 10 0892 151
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</si>
  <si>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областного бюджета</t>
  </si>
  <si>
    <t xml:space="preserve">2 02 49999 10 0991 151
</t>
  </si>
  <si>
    <t>Прочие межбюджетные трансферты, передаваемые бюджетам сельских поселений на софинансирование расходов по подготовке документов для внесения в государственный кадастр</t>
  </si>
  <si>
    <t>2 07 00000 00 0000 000</t>
  </si>
  <si>
    <t>ПРОЧИЕ БЕЗВОЗМЕЗДНЫЕ ПОСТУПЛЕНИЯ</t>
  </si>
  <si>
    <t>Прочие безвозмездные поступления в бюджеты сельских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</si>
  <si>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</si>
  <si>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ИТОГО  ДОХОДОВ</t>
  </si>
  <si>
    <t xml:space="preserve">                                                                                            к решению Совета депутатов</t>
  </si>
  <si>
    <t>Дотации бюджетам сельских поселений на выравнивание бюджетной обеспеченности, за счет средств областного бюджета</t>
  </si>
  <si>
    <t>Дотации бюджетам сельских поселений на выравнивание бюджетной обеспеченности, за счет средств районного  бюджета</t>
  </si>
  <si>
    <t>Прочие дотации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</si>
  <si>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</si>
  <si>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</si>
  <si>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</si>
  <si>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 на обеспечение мероприятий по капитальному ремонту многоквартирных домов за счет средств бюджетов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</si>
  <si>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бюджетов</t>
  </si>
  <si>
    <t>Прочие безвозмездные поступления в бюджеты сельских поселений от бюджетов муниципальных районов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</si>
  <si>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</si>
  <si>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</si>
  <si>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</si>
  <si>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</si>
  <si>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(в процентах)</t>
  </si>
  <si>
    <t>Код бюджетной классификации РФ</t>
  </si>
  <si>
    <t>Наименование кода поступлений в бюджет</t>
  </si>
  <si>
    <t>Норматив отчислений</t>
  </si>
  <si>
    <t>В ЧАСТИ БЕЗВОЗМЕЗДНЫХ ПОСТУПЛЕНИЙ ОТ ДРУГИХ БЮДЖЕТОВ БЮДЖЕТНОЙ СИСТЕМЫ РОССИЙСКОЙ ФЕДЕРАЦИИ</t>
  </si>
  <si>
    <t>В ЧАСТИ НАЛОГОВ НА ПРИБЫЛЬ, ДОХОДЫ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</si>
  <si>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</si>
  <si>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В ЧАСТИ ДОХОДОВ ОТ АКЦИЗОВ НА АВТОМОБИЛЬНЫЙ И ПРЯМОГОННЫЙ БЕНЗИН ДИЗЕЛЬНОЕ ТОПЛИВА МОТОРНЫЕ МАСЛА ДЛЯ ДИЗЕЛЬНЫХ И (ИЛИ) КАРБЮРАТОРНЫХ(ИНЖЕКТОРНЫХ) ДВИГАТЕЛЕЙ ПРОИЗВОДИМЫЕ НА ТЕРРИТОРИИ РОССИЙСКОЙ ФЕДЕРАЦИИ</t>
  </si>
  <si>
    <r>
      <t>В ЧАСТИ НАЛОГОВ НА СОВОКУПНЫЙ ДОХОД</t>
    </r>
    <r>
      <rPr>
        <sz val="12"/>
        <color theme="1"/>
        <rFont val="Times New Roman"/>
        <family val="1"/>
        <charset val="204"/>
      </rPr>
      <t xml:space="preserve"> </t>
    </r>
  </si>
  <si>
    <t>В ЧАСТИ НАЛОГОВ НА ИМУЩЕСТВО</t>
  </si>
  <si>
    <t>Земельный налог с организаций, обладающих земельным участком, расположенным в границах сельских поселений</t>
  </si>
  <si>
    <t>В ЧАСТИ ГОСУДАРСТВЕННОЙ ПОШЛИНЫ</t>
  </si>
  <si>
    <t>В ЧАСТИ ПОГАШЕНИЯ ЗАДОЛЖЕННОСТИ И ПЕРЕРАСЧЕТОВ ПО ОТДЕЛЬНЫМ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</si>
  <si>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сельских  поселений</t>
  </si>
  <si>
    <t>В ЧАСТИ ДОХОДОВ ОТ ИСПОЛЬЗОВАНИЯ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</si>
  <si>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поселений и созданных ими учреждений (за исключением имущества муниципальных бюджетных и автономных учреждений)</t>
  </si>
  <si>
    <t>В ЧАСТИ ДОХОДОВ ОТ ОКАЗАНИЯ ПЛАТНЫХ УСЛУГ (РАБОТ)</t>
  </si>
  <si>
    <t>И КОМПЕНСАЦИИ ЗАТРАТ ГОСУДАРСТВА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</si>
  <si>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</si>
  <si>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</si>
  <si>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 xml:space="preserve">В ЧАСТИ ДОХОДОВ ОТ ПРОДАЖИ МАТЕРИАЛЬНЫХ </t>
  </si>
  <si>
    <t>И НЕМАТЕРИАЛЬНЫХ АКТИВОВ</t>
  </si>
  <si>
    <t>Доходы от реализации иного имущества, 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</si>
  <si>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 ЧАСТИ АДМИНИСТРАТИВНЫХ ПЛАТЕЖЕЙ И СБОРОВ</t>
  </si>
  <si>
    <t>Платежи, взимаемые органами местного самоуправления (организациями) поселений, за выполнение определенных функций</t>
  </si>
  <si>
    <t>В ЧАСТИ ШТРАФОВ, САНКЦИЙ, ВОЗМЕЩЕНИЕ УЩЕРБА</t>
  </si>
  <si>
    <t>В ЧАСТИ ПРОЧИХ НЕНАЛОГОВЫХ ДОХОДОВ</t>
  </si>
  <si>
    <t>МО Нижнепавловский сельсовет</t>
  </si>
  <si>
    <t>МУНИЦИПАЛЬНОГО ОБРАЗОВАНИЯ НИЖНЕПАВЛОВСКИЙ СЕЛЬСОВЕТ</t>
  </si>
  <si>
    <t>ФИЗИЧЕСКАЯ КУЛЬТУРА И СПОРТ</t>
  </si>
  <si>
    <t>Администрация муниципального образования Нижнепавловский сельсовет Оренбургского района Оренбургской области</t>
  </si>
  <si>
    <t>Непрограммные мероприятия</t>
  </si>
  <si>
    <t>Доходы, получаемые в виде арендной платы, а также средств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</si>
  <si>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межбюджетные трансферты, на софинансирование расходов по подготовке документов для внесения государственный кадастр недвижимости сведений о границах муниципальных образований, границах населенных пунктов, территориальных зонах, зонах с особыми условиями использования территорий</t>
  </si>
  <si>
    <t>Приложение №1</t>
  </si>
  <si>
    <t>2 02 49999 00 0000 000</t>
  </si>
  <si>
    <t>Прочие межбюджетные трансферты</t>
  </si>
  <si>
    <t>Дотации бюджетам сельских поселений на поддержку мер по обеспечению сбалансированности бюджетов  на уплату налога на имущество</t>
  </si>
  <si>
    <t>Дотации поселениям на выравнивание бюджетной обеспеченности на уплату налога на имущество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</si>
  <si>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</si>
  <si>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1 03 02231 01 0000 110</t>
  </si>
  <si>
    <t>1 03 02241 01 0000 110</t>
  </si>
  <si>
    <t>1 03 02251 01 0000 110</t>
  </si>
  <si>
    <t>1 03 02261 01 0000 110</t>
  </si>
  <si>
    <t>2 02 15002 10 0001 150</t>
  </si>
  <si>
    <t>2 02 15002 10 0002 150</t>
  </si>
  <si>
    <t>2 02 19999 10 0000 150</t>
  </si>
  <si>
    <t>2 02 30024 10 0000 150</t>
  </si>
  <si>
    <t>2 02 35118 10 0000 150</t>
  </si>
  <si>
    <t xml:space="preserve">2 02 35930 10 0000 150 </t>
  </si>
  <si>
    <t>2 02 39999 10 0000 150</t>
  </si>
  <si>
    <t>2 02 40014 10 0000 150</t>
  </si>
  <si>
    <t>2 02 29999 10 0000 150</t>
  </si>
  <si>
    <t>Прочие субсидии бюджетам сельских поселений</t>
  </si>
  <si>
    <t>2 02 35930 10 0000 150</t>
  </si>
  <si>
    <t>2 02 45160 10 0000 150</t>
  </si>
  <si>
    <t>2 02 49999 10 0000 150</t>
  </si>
  <si>
    <t>2 02 49999 10 0301 150</t>
  </si>
  <si>
    <t>2 02 49999 10 0302 150</t>
  </si>
  <si>
    <t>2 02 49999 10 8820 150</t>
  </si>
  <si>
    <t>2 02 90054 10 0000 150</t>
  </si>
  <si>
    <t>2 07 05030 10 0000 150</t>
  </si>
  <si>
    <t>2 18 60010 10 0000 150</t>
  </si>
  <si>
    <t>2 18 05010 10 0000 150</t>
  </si>
  <si>
    <t>2 18 05030 10 0000 150</t>
  </si>
  <si>
    <t>2 02 49999 10 6130 150</t>
  </si>
  <si>
    <t>Прочие межбюджетные трансферты передаваемые бюджетам сельских поселений</t>
  </si>
  <si>
    <t>2 19 60010 10 0000 150</t>
  </si>
  <si>
    <t>2 02 10000 00 0000 150</t>
  </si>
  <si>
    <t>2 02 15002 00 0000 150</t>
  </si>
  <si>
    <t>2 02 30000 00 0000 150</t>
  </si>
  <si>
    <t>2 02 35930 00 0000 150</t>
  </si>
  <si>
    <t>2 02 35118 00 0000 150</t>
  </si>
  <si>
    <t>2 07 05000 10 0000 150</t>
  </si>
  <si>
    <t>2 07 05010 10 0000 150</t>
  </si>
  <si>
    <t>95555</t>
  </si>
  <si>
    <t>Организация прохождения ежегодной диспансеризации муниципальных служащих</t>
  </si>
  <si>
    <t>540</t>
  </si>
  <si>
    <t>2 02 20077 10 0000 150</t>
  </si>
  <si>
    <t>Субсидии бюджетам сельских поселений на софининсирование капитальных вложений в объекты муниципальной собственности</t>
  </si>
  <si>
    <t>2 02 00000 00 0000 150</t>
  </si>
  <si>
    <t>2 02 20077 00 0000 150</t>
  </si>
  <si>
    <t>Субсидии бюджетам субъектов Российской Федерации и муниципальных образований</t>
  </si>
  <si>
    <t>2 02 15002 10 6111 150</t>
  </si>
  <si>
    <t>Дотации бюджетам сельских поселений на поддержку мер по обеспечению сбалансированности бюджетов на обеспечение повышения оплаты труда отдельных категорий работников</t>
  </si>
  <si>
    <t>2 02 49999 10 6777 150</t>
  </si>
  <si>
    <t>Прочие межбюджетные трансферты, передаваемые бюджетам сельских поселений для обеспечения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</t>
  </si>
  <si>
    <t>Финансовое обеспечение повышения оплаты труда отдельных категорий работников муниципальных учреждений</t>
  </si>
  <si>
    <t>Расходы на повышение оплаты труда работников муниципальных учреждений культуры и педагогических работников</t>
  </si>
  <si>
    <t>2 02 16001 00 0000 150</t>
  </si>
  <si>
    <t>2 02 16001 10 0000 150</t>
  </si>
  <si>
    <t>2 02 16001 10 0001 150</t>
  </si>
  <si>
    <t>2 02 16001 10 0002 150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</si>
  <si>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</si>
  <si>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</si>
  <si>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</si>
  <si>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>1 01 02080 01 0000 110</t>
  </si>
  <si>
    <t>Налог на доходы физических лиц части суммы налога, превышающей 650000 рублей, относящейся к части налоговой базы, превышающей 5 000 000 рублей</t>
  </si>
  <si>
    <t>Доходы от уплаты акцизов на 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</si>
  <si>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</si>
  <si>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r>
      <t>Доходы от уплаты акцизов на моторные масла для дизельных и (или) карбюраторных (инжекторных)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двигателей,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дороги")</t>
    </r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</si>
  <si>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</si>
  <si>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</si>
  <si>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</si>
  <si>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1 11 05325 10 0000 120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</si>
  <si>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учреждениями в отношении земельных участков, находящихся в собственности сельских поселений</t>
  </si>
  <si>
    <t>1 16 02020 02 0000 140</t>
  </si>
  <si>
    <t>Административные штрафы, установленые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</si>
  <si>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</si>
  <si>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</si>
  <si>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</si>
  <si>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органом,(муниципальным казенным учреждением) сельского поселеия</t>
  </si>
  <si>
    <t>1 1715030 10 0000 150</t>
  </si>
  <si>
    <t>Инициативные платежи, зачисляемые в бюджеты сельских поселений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</si>
  <si>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</si>
  <si>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тыс. рублей</t>
  </si>
  <si>
    <t>Организация повышения квалификации муниципальных служащих</t>
  </si>
  <si>
    <t xml:space="preserve">Объём межбюджетных трансфертов, получаемых из других бюджетов бюджетной системы Российской Федерации </t>
  </si>
  <si>
    <r>
      <t>2 02 10000 00 0000 15</t>
    </r>
    <r>
      <rPr>
        <sz val="10"/>
        <rFont val="Times New Roman"/>
        <family val="1"/>
        <charset val="204"/>
      </rPr>
      <t>0</t>
    </r>
  </si>
  <si>
    <r>
      <t>2 02 1</t>
    </r>
    <r>
      <rPr>
        <b/>
        <sz val="10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>002 00 0000 150</t>
    </r>
  </si>
  <si>
    <t>2 02 15002 10 0000 150</t>
  </si>
  <si>
    <t>Дотации бюджетам сельских поселений на поддержку мер по обеспечению сбалансированности бюджетов на уплату налога на имущество.</t>
  </si>
  <si>
    <t xml:space="preserve">Дотации бюджетам сельских поселений на поддержку мер по обеспечению сбалансированности бюджетов на обеспечение повышения оплаты труда отдельных категорий работников  </t>
  </si>
  <si>
    <t>2 02 15002 10 6444 150</t>
  </si>
  <si>
    <t xml:space="preserve">Дотации бюджетам сельских поселений на поддержку мер по обеспечению сбалансированности бюджетов, на реализацию проекта «Народный бюджет» на территории муниципального образования Оренбургский район  </t>
  </si>
  <si>
    <t>2 02 15002 10 6888 150</t>
  </si>
  <si>
    <t>Дотации бюджетам сельских поселений на поддержку мер по обеспечению сбалансированности бюджетов для обеспечения минимального размера оплаты труда работников бюджетной сферы</t>
  </si>
  <si>
    <r>
      <t>2 02 1</t>
    </r>
    <r>
      <rPr>
        <b/>
        <sz val="10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>001 00 0000 150</t>
    </r>
  </si>
  <si>
    <r>
      <t>2 02 1</t>
    </r>
    <r>
      <rPr>
        <b/>
        <sz val="10"/>
        <rFont val="Times New Roman"/>
        <family val="1"/>
        <charset val="204"/>
      </rPr>
      <t>60</t>
    </r>
    <r>
      <rPr>
        <b/>
        <sz val="10"/>
        <color indexed="8"/>
        <rFont val="Times New Roman"/>
        <family val="1"/>
        <charset val="204"/>
      </rPr>
      <t>01 10 0000 150</t>
    </r>
  </si>
  <si>
    <t>Дотации бюджетам сельских поселений на выравнивание бюджетной обеспеченности из бюджетов муниципальных районов, за счет средств  из областного бюджета</t>
  </si>
  <si>
    <r>
      <t>Дотации бюджетам сельских поселений на выравнивание бюджетной обеспеченности из бюджетов муниципальных районов,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</si>
  <si>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</si>
  <si>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</si>
  <si>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</si>
  <si>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</si>
  <si>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</si>
  <si>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</si>
  <si>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</si>
  <si>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2 02 25555 00 0000 150</t>
  </si>
  <si>
    <t>Субсидии бюджетам на реализацию программ формирования современной городской среды</t>
  </si>
  <si>
    <t>2 02 25555 10 0000 150</t>
  </si>
  <si>
    <t>Субсидии бюджетам сельских поселений на реализацию программ формирования современной городской среды</t>
  </si>
  <si>
    <t>2 02 25576 0 00000 150</t>
  </si>
  <si>
    <t>Субсидии бюджетам на обеспечение комплексного развития сельских территорий</t>
  </si>
  <si>
    <t>2 02 25576 10 0000 150</t>
  </si>
  <si>
    <t>Субсидии бюджетам сельских поселений на обеспечение комплексного развития сельских территорий</t>
  </si>
  <si>
    <t xml:space="preserve">2 02 29999 00 0000 150 </t>
  </si>
  <si>
    <t>Прочие субсидии</t>
  </si>
  <si>
    <t>Прочие субсидии сельским поселениям</t>
  </si>
  <si>
    <t>Субвенции бюджетам бюджетной системы Российской Федерации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</si>
  <si>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</si>
  <si>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</si>
  <si>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на государственную регистрацию актов гражданского состояния
</t>
  </si>
  <si>
    <t xml:space="preserve">Субвенции бюджетам сельских поселений на государственную регистрацию актов гражданского состояния
</t>
  </si>
  <si>
    <t>2 02 40000 00 0000 150</t>
  </si>
  <si>
    <t xml:space="preserve">Иные межбюджетные трансферты
</t>
  </si>
  <si>
    <t>2 02 49999 00 0000 150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</si>
  <si>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</si>
  <si>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сельских поселений
</t>
  </si>
  <si>
    <t>Прочие межбюджетные трансферты, передаваемые бюджетам сельских поселений , для обеспечения повышения оплаты труда работников  муниципальных учреждений культуры</t>
  </si>
  <si>
    <t xml:space="preserve">ПРОЧИЕ БЕЗВОЗМЕЗДНЫЕ ПОСТУПЛЕНИЯ
</t>
  </si>
  <si>
    <t xml:space="preserve">2 07 05000 10 0000 150
</t>
  </si>
  <si>
    <t xml:space="preserve">Прочие безвозмездные поступления в бюджеты сельских поселений
</t>
  </si>
  <si>
    <t xml:space="preserve">2 07 05030 10 0000 150
</t>
  </si>
  <si>
    <t xml:space="preserve">Прочие безвозмездные поступления в бюджеты сельских поселений
</t>
  </si>
  <si>
    <t>МОНижнепавловский сельсовет</t>
  </si>
  <si>
    <t>в бюджет муниципального образования Нижнепавловский сельсовет</t>
  </si>
  <si>
    <t>тыс.рублей</t>
  </si>
  <si>
    <t>1.</t>
  </si>
  <si>
    <t xml:space="preserve"> в соответствии с заключенными соглашениями по внутреннему муниципальному финансовому контролю </t>
  </si>
  <si>
    <t>2.</t>
  </si>
  <si>
    <t xml:space="preserve"> в соответствии с заключенными соглашениями попротиводействие коррупции в границах поселений</t>
  </si>
  <si>
    <t xml:space="preserve">к решению Совета  депутатов </t>
  </si>
  <si>
    <t xml:space="preserve">Объем бюджетных ассигнований на исполнение публичных нормативных обязательств, </t>
  </si>
  <si>
    <t>в 2022 год и на плановый период 2023 и 2024 годов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</si>
  <si>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</si>
  <si>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</si>
  <si>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</si>
  <si>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</si>
  <si>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</si>
  <si>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</si>
  <si>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</si>
  <si>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Итого</t>
  </si>
  <si>
    <t>Пенсия за выслугу лет муниципальным служащим</t>
  </si>
  <si>
    <t>предусмотренных местным бюджетом муниципального образования Нижнепавловский сельсовет</t>
  </si>
  <si>
    <t>№   п/п</t>
  </si>
  <si>
    <t>Наименование показателя</t>
  </si>
  <si>
    <t>Справочно консолидированный бюджет муниципального района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</si>
  <si>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</si>
  <si>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</si>
  <si>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</si>
  <si>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</si>
  <si>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</si>
  <si>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</si>
  <si>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</si>
  <si>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</si>
  <si>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</si>
  <si>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</si>
  <si>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</si>
  <si>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</si>
  <si>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</si>
  <si>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</si>
  <si>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</si>
  <si>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</si>
  <si>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</si>
  <si>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</si>
  <si>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</si>
  <si>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</si>
  <si>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</si>
  <si>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</si>
  <si>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</si>
  <si>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</si>
  <si>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</si>
  <si>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</si>
  <si>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</si>
  <si>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</si>
  <si>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</si>
  <si>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</si>
  <si>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</si>
  <si>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</si>
  <si>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</si>
  <si>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</si>
  <si>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3.</t>
  </si>
  <si>
    <t>Расходы на оплату коммунальных услуг учреждений, включая автономные и бюджетные учреждения (тыс. рублей)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</si>
  <si>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</si>
  <si>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</si>
  <si>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</si>
  <si>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</si>
  <si>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</si>
  <si>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9</t>
  </si>
  <si>
    <t xml:space="preserve">                                                                              Приложение № 10</t>
  </si>
  <si>
    <t>Приложение № 11 
к решению Совета депутатов от №</t>
  </si>
  <si>
    <t>Приложение №12</t>
  </si>
  <si>
    <t>Методика расчета и предоставления иных межбюджетных трансфертов бюджету муниципального образования Оренбургский район</t>
  </si>
  <si>
    <t>1. Методика регламентирует условия расчета и предоставления иных межбюджетных трансфертов бюджету муниципального образования Оренбургский район.</t>
  </si>
  <si>
    <t>2. Иные межбюджетные трансферты предоставляются  бюджету муниципального образования Оренбургский район   в соответствии со сводной бюджетной росписью бюджета поселения в пределах бюджетных ассигнований и лимитов бюджетных обязательств  на соответствующий год.</t>
  </si>
  <si>
    <t>3.Средства предоставленных  иных межбюджетных трансфертов  имеют строго целевой характер.</t>
  </si>
  <si>
    <t>4. Ответственность за целевое и эффективное использований иных межбюджетных трансфертов несет  Администрация муниципального образования Оренбургский район. Объем средств нецелевого использования иных межбюджетных трансфертов  подлежит возврату в доход бюджета поселения.</t>
  </si>
  <si>
    <t>5. Не использованные в текущем финансовом году иные межбюджетные трансферты, подлежат возврату в доход бюджета поселения.</t>
  </si>
  <si>
    <t>6.Предоставление иных межбюджетных трансфертов производится ежемесячно на основании сводной бюджетной росписи и лимитов бюджетных обязательств.</t>
  </si>
  <si>
    <t>7.Администрация муниципального образования Оренбургский район предоставляет отчеты о расходовании иных межбюджетных трансфертов, по форме утвержденной Администрацией муниципального образования Оренбургский район.</t>
  </si>
  <si>
    <t>8.Расчет иных межбюджетных трансфертов.</t>
  </si>
  <si>
    <t>8.1.Методика предоставления иных межбюджетных трансфертов по соглашению об   осуществлении полномочий  внешнего муниципального финансового контроля.</t>
  </si>
  <si>
    <t>Объемы межбюджетных трансфертов определяются с учетом необходимости обеспечения затрат на:</t>
  </si>
  <si>
    <t>оплату труда сотрудников Счетной палаты района, непосредственно осуществляющих мероприятия в рамках переданных полномочий, со всеми надбавками по должности  - инспектор Счетной палаты - согласно Положению «О денежном содержании лиц, замещающих муниципальные должности и должности муниципальной службы в муниципальном образовании Оренбургский район, и порядке его выплаты», утвержденного решением Совета депутатов муниципального образования Оренбургский район от 27.11.2019 № 319;</t>
  </si>
  <si>
    <t>почтовые, транспортные, командировочные, канцелярские расходы;</t>
  </si>
  <si>
    <t>повышение квалификации сотрудников Счетной палаты района, непосредственно осуществляющих мероприятия в рамках переданных полномочий, не реже 1 раза в три года;</t>
  </si>
  <si>
    <t>приобретение обучающей литературы, основных средств (офисной мебели, компьютерной и копировальной техники) их обслуживание, информационное обеспечение;</t>
  </si>
  <si>
    <t>прохождение ежегодной диспансеризации сотрудников Счетной палаты района, непосредственно осуществляющих мероприятия в рамках переданных полномочий;</t>
  </si>
  <si>
    <t>по следующей формуле:</t>
  </si>
  <si>
    <t>V =(F+ N+R): (Кмр / Кп),  где:</t>
  </si>
  <si>
    <r>
      <t xml:space="preserve">V – </t>
    </r>
    <r>
      <rPr>
        <sz val="11"/>
        <color theme="1"/>
        <rFont val="Times New Roman"/>
        <family val="1"/>
        <charset val="204"/>
      </rPr>
      <t>объем межбюджетных трансфертов, причитающихся бюджету района по полномочиям, передаваемым поселением;</t>
    </r>
  </si>
  <si>
    <r>
      <t xml:space="preserve">F – </t>
    </r>
    <r>
      <rPr>
        <sz val="11"/>
        <color theme="1"/>
        <rFont val="Times New Roman"/>
        <family val="1"/>
        <charset val="204"/>
      </rPr>
      <t>фонд оплаты труда, рассчитанный на содержание</t>
    </r>
    <r>
      <rPr>
        <sz val="11"/>
        <color rgb="FF3366FF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штатных единиц по выполнению полномочий, передаваемых поселением;</t>
    </r>
  </si>
  <si>
    <r>
      <t xml:space="preserve">N- </t>
    </r>
    <r>
      <rPr>
        <sz val="11"/>
        <color theme="1"/>
        <rFont val="Times New Roman"/>
        <family val="1"/>
        <charset val="204"/>
      </rPr>
      <t>начисления на оплату труда, рассчитанные на содержание штатных единиц по выполнению полномочий, передаваемых поселением;</t>
    </r>
  </si>
  <si>
    <r>
      <t>R</t>
    </r>
    <r>
      <rPr>
        <sz val="11"/>
        <color theme="1"/>
        <rFont val="Times New Roman"/>
        <family val="1"/>
        <charset val="204"/>
      </rPr>
      <t xml:space="preserve"> – расходы на материально-техническое обеспечение штатных единиц по выполнению полномочий, передаваемых поселением (8,25 % от суммы фонда оплаты труда с начислениями на оплату труда).</t>
    </r>
  </si>
  <si>
    <r>
      <t xml:space="preserve">Кмр – </t>
    </r>
    <r>
      <rPr>
        <sz val="11"/>
        <color theme="1"/>
        <rFont val="Times New Roman"/>
        <family val="1"/>
        <charset val="204"/>
      </rPr>
      <t xml:space="preserve">общая численность населения муниципального района. </t>
    </r>
  </si>
  <si>
    <r>
      <t xml:space="preserve">Кп </t>
    </r>
    <r>
      <rPr>
        <sz val="11"/>
        <color theme="1"/>
        <rFont val="Times New Roman"/>
        <family val="1"/>
        <charset val="204"/>
      </rPr>
      <t>- численность населения соответствующего поселения, передающего муниципальному району полномочия по осуществлению внешнего финансового контроля.</t>
    </r>
  </si>
  <si>
    <t xml:space="preserve">Расчёт в рамках настоящей методики осуществляется в тысячах рублей, с математическим округлением до сотого разряда, а сумма межбюджетного трансферта, рассчитанного на год - до десятого разряда тысяч рублей.  </t>
  </si>
  <si>
    <t>Численность населения поселений определяется по статистическим данным - оценка численности населения на 01 января текущего года, размещенным на официальном сайте Территориального органа Федеральной службы государственной статистики по Оренбургской области (Оренбургстат) https://orenstat.gks.ru/.</t>
  </si>
  <si>
    <r>
      <t>8.2.</t>
    </r>
    <r>
      <rPr>
        <sz val="11"/>
        <color rgb="FF0000FF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Методика межбюджетных трансфертов на осуществление части полномочий по решению вопросов местного значения по осуществлению мер по противодействию коррупции в границах поселения: обеспечение функций и полномочий единой комиссии по соблюдению требований к служебному поведению муниципальных служащих и урегулирования конфликта </t>
    </r>
  </si>
  <si>
    <t>определяет механизм и условия предоставления межбюджетных трансфертов на оплату труда сотрудника отдела кадров и спецработы администрации, непосредственно осуществляющего мероприятия в рамках переданных полномочий, со всеми надбавками по должности - старший инспектор отдела кадров и спецработы - согласно Положению «О денежном содержании работников органов местного самоуправления муниципального образования Оренбургский район и порядке его выплаты», утвержденного решением Совета депутатов муниципального образования Оренбургский район от 27 ноября 2019 года № 319;</t>
  </si>
  <si>
    <r>
      <t>-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объемы межбюджетных трансфертов рассчитывается по следующей формуле:</t>
    </r>
  </si>
  <si>
    <t>ФМТ = Норм х Ч, где:</t>
  </si>
  <si>
    <t>ФМТ - объем межбюджетных трансфертов, передаваемых из бюджета i-ro поселения;</t>
  </si>
  <si>
    <t>Норм - норматив расходов i-ro муниципального образования в расчете на 1 штатную единицу муниципального служащего, равный 1000 руб.</t>
  </si>
  <si>
    <t>Ч - численность муниципальных служащих i-ro муниципального образования.</t>
  </si>
  <si>
    <t>2 02 29999 00 0000 150</t>
  </si>
  <si>
    <t>Субсидии бюджетам муниципальных образований на софининсирование мероприятий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</si>
  <si>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Приложение № 14</t>
  </si>
  <si>
    <t>Перечень муниципальных гарантий, подлежащих предоставлению в 2022-2024 годах</t>
  </si>
  <si>
    <t>2 02 15002 10 6888150</t>
  </si>
  <si>
    <t xml:space="preserve">Дотациина поддержку мер по обеспечению сбаласированности бюджетов муниципальных образований сельских поселений для обеспечения </t>
  </si>
  <si>
    <t xml:space="preserve">НОРМАТИВЫ ОТЧИСЛЕНИЙ ДОХОДОВ В БЮДЖЕТ                                                                    МУНИЦИПАЛЬНОГО ОБРАЗОВАНИЯ НИЖНЕПАВЛОВСКИЙ СЕЛЬСОВЕТ                                                                    НА 2023 ГОД  И НА ПЛАНОВЫЙ ПЕРИОД  2024 И 2025 ГОДОВ </t>
  </si>
  <si>
    <t>НА 2023 ГОД  И ПЛАНОВЫЙ ПЕРИОД 2024, 2025 ГОДЫ</t>
  </si>
  <si>
    <t>336,20</t>
  </si>
  <si>
    <t xml:space="preserve">                                                                                                ___________2022 года № ___</t>
  </si>
  <si>
    <t xml:space="preserve"> ___________2022 года № ___</t>
  </si>
  <si>
    <t xml:space="preserve">ПРОЕКТ </t>
  </si>
  <si>
    <t xml:space="preserve">                              ПРОЕКТ                                                             МО Нижнепавловский сельсовет</t>
  </si>
  <si>
    <t>ПРОЕКТ</t>
  </si>
  <si>
    <t>2025 год</t>
  </si>
  <si>
    <t xml:space="preserve">___________ 2022 г. № _____ </t>
  </si>
  <si>
    <t xml:space="preserve">         Программа муниципальных внутренних заимствований на 2023 год и на плановый  период  2024  и  2025  годов  предусматривает при необходимости покрытие дефицита бюджета муниципального образования Нижнепавловский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</si>
  <si>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>____________ 2022 г. № ______</t>
  </si>
  <si>
    <t xml:space="preserve"> МУНИЦИПАЛЬНЫХ ГАРАНТИЙ БЮДЖЕТА МУНИЦИПАЛЬНОГО ОБРАЗОВАНИЯ НИЖНЕПАВЛОВСКИЙ СЕЛЬСОВЕТ                                            В ВАЛЮТЕ РОССИЙСКОЙ ФЕДЕРАЦИИ НА 2023 ГОД И НА ПЛАНОВЫЙ ПЕРИОД 2024 И 2025 ГОДОВ</t>
  </si>
  <si>
    <t>на 2023 годи плановый период  2024 и 2025 годов</t>
  </si>
  <si>
    <t>321,30</t>
  </si>
  <si>
    <t>348,40</t>
  </si>
  <si>
    <t xml:space="preserve">Распределение бюджетных ассигнований на предоставление межбюджетных трансфертов бюджету района на 2023 год и на плановый период 2024 и 2025 годов
</t>
  </si>
  <si>
    <t>Приложение №8 к решению Совета депутатов МО Нижнепавловский сельсовет от  ____________ 2022 года № _______</t>
  </si>
  <si>
    <t>____________ 2022 года № ____</t>
  </si>
  <si>
    <t>2025год</t>
  </si>
  <si>
    <t>___________2022 г. № _____</t>
  </si>
  <si>
    <t>Основные параметры первоочередных расходов бюджета на 2023 год</t>
  </si>
  <si>
    <t>Приложение № 13                                                                                                                                                                                                                            к решению Совета депутатов                                                                                                                                                                                                                МО Нижнепавловский  сельсовет                                                                                                                                                                                                    _____________ 2022 г. № _____</t>
  </si>
  <si>
    <t>ПРОГРАММА МУНИЦИПАЛЬНЫХ ВНУТРЕННИХ ЗАИМСТВОВАНИЙ                                  МО НИЖНЕПАВЛОВСКИЙ СЕЛЬСОВЕТ                                                                                              НА 2023 ГОД И НА ПЛАНОВЫЙ ПЕРИОД 2024 И 2025 ГОДОВ</t>
  </si>
  <si>
    <t>Оренбургский район</t>
  </si>
  <si>
    <t>____ декабря 2022 года № ______</t>
  </si>
  <si>
    <t xml:space="preserve">Муниципальная программа  (комплексная программа) "Совершенствование муниципального управления в муниципальном образовании _______________ сель/поссовет на 2023 - 2030 годы» </t>
  </si>
  <si>
    <t>Комплексы процессных мероприятий</t>
  </si>
  <si>
    <t>Комплекс процессных мероприятий "Обеспечение деятельности органов местного самоуправления"</t>
  </si>
  <si>
    <t>Обеспечение деятельности главы</t>
  </si>
  <si>
    <t>Обеспечение деятельности администрации</t>
  </si>
  <si>
    <t>90007</t>
  </si>
  <si>
    <t>90008</t>
  </si>
  <si>
    <t>Комплекс процессных мероприятий «Обеспечение передачи части полномочий муниципальному образованию Оренбургский район»</t>
  </si>
  <si>
    <t>Межбюджетные трасферты бюджету муниципального района на осуществление полномочий в сфере муниципального земельного контроля</t>
  </si>
  <si>
    <t>60002</t>
  </si>
  <si>
    <t>Межбюджетные трасферты бюджету муниципального района на выполнение переданных полномочий  в области градостроительной деятельности</t>
  </si>
  <si>
    <t>60004</t>
  </si>
  <si>
    <t>Межбюджетные трасферты бюджету муниципального района на выполнение переданных полномочий  комиссии по соблюдению требований к служебному поведению муниципальных служащих и урегулированию конфликта интересов</t>
  </si>
  <si>
    <t>60040</t>
  </si>
  <si>
    <t>Межбюджетные трасферты бюджету муниципального района на выполнение переданных полномочий  внешнего муниципального финансового контроля</t>
  </si>
  <si>
    <t>61002</t>
  </si>
  <si>
    <t>Осуществление администратино-хозяйственного обеспечения органов местного самоуправления</t>
  </si>
  <si>
    <t>70003</t>
  </si>
  <si>
    <t>Расходы на выплаты персоналу казенных учреждений</t>
  </si>
  <si>
    <t>110</t>
  </si>
  <si>
    <t>71111</t>
  </si>
  <si>
    <t xml:space="preserve">Финансовое обеспечение минимального размера оплаты труда работников бюджетной сферы </t>
  </si>
  <si>
    <t>78888</t>
  </si>
  <si>
    <t>Содержание муниципального имущества</t>
  </si>
  <si>
    <t xml:space="preserve">Осуществление первичного воинского учета органами местного самоуправления поселений, муниципальных и городских округов </t>
  </si>
  <si>
    <t>Осуществление переданных полномочий Российской Федерации на государственную регистрацию актов гражданского состояния</t>
  </si>
  <si>
    <t>59320</t>
  </si>
  <si>
    <t>Муниципальная программа(комплексная программа) «Комплексное развитие сельской территории муниципального образования _______________ сель/поссовет Оренбургского района Оренбургской области на 2023 - 2030 годы»</t>
  </si>
  <si>
    <t xml:space="preserve">Комплекс процессных мероприятий «Безопасность» </t>
  </si>
  <si>
    <t>09</t>
  </si>
  <si>
    <t>Комплекс процессных мероприятий «Развитие дорожного хозяйства»</t>
  </si>
  <si>
    <t>Комплекс процессных мероприятий «Озеленение территории и освещение улиц»</t>
  </si>
  <si>
    <t>Комплекс процессных мероприятий «Управление и распоряжение объектами муниципальной  собственности, в том числе земельными ресурсами»</t>
  </si>
  <si>
    <t xml:space="preserve">Мероприятия по землеустройству и землепользованию </t>
  </si>
  <si>
    <t>90044</t>
  </si>
  <si>
    <t>Комплекс процессных мероприятий «Развитие жилищного фонда»</t>
  </si>
  <si>
    <t>Комплекс процессных мероприятий «Развитие коммунального хозяйства»</t>
  </si>
  <si>
    <t>Комплекс процессных мероприятий «Благоустройство территории сельсовета»</t>
  </si>
  <si>
    <t xml:space="preserve">Благоустройство территории </t>
  </si>
  <si>
    <t xml:space="preserve">Муниципальная программа(комплексная программа) «Развитие культуры села _________________ сель/поссовета на 2023 - 2030 годы» </t>
  </si>
  <si>
    <t>Комплекс процессных мероприятий «Сохранение и развитие культуры»</t>
  </si>
  <si>
    <t>67777</t>
  </si>
  <si>
    <t>Комплекс процессных мероприятий «Предоставление мер социальной поддержки отдельных категорий граждан»</t>
  </si>
  <si>
    <t>10009</t>
  </si>
  <si>
    <t>Физическая культура</t>
  </si>
  <si>
    <t>Комплекс процессных мероприятий «Развитие физической культуры и массового спорта»</t>
  </si>
  <si>
    <t>10</t>
  </si>
  <si>
    <t>Организация проведения официальных физкультурно-оздоровительных и спортивных мероприятий поселения</t>
  </si>
  <si>
    <t>90054</t>
  </si>
  <si>
    <t>РАСПРЕДЕЛЕНИЕ БЮДЖЕТНЫХ АССИГНОВАНИЙ РАЙОННОГО БЮДЖЕТА ПО ЦЕЛЕВЫМ СТАТЬЯМ</t>
  </si>
  <si>
    <t>____ декабря 2022 года № _______</t>
  </si>
  <si>
    <t>86 4 02 10009</t>
  </si>
  <si>
    <t>Нижнепавловский сельсовет</t>
  </si>
  <si>
    <t>Ведомственная структура расходов бюджета муниципального образования Нижнепавловский сельсовет на 2023 год и на плановый период 2024 и 2025 годы</t>
  </si>
  <si>
    <t>РАСПРЕДЕЛЕНИЕ БЮДЖЕТНЫХ АССИГНОВАНИЙ БЮДЖЕТА МУНИЦИПАЛЬНОГО ОБРАЗОВАНИЯ НИЖНЕПАВЛОВСКИЙ СЕЛЬСОВЕТ ОРЕНБУРГСКОГО РАЙОНА НА 2023 год и НА ПЛАНОВЫЙ ПЕРИОД 2024 и 2025 годы ПО РАЗДЕЛАМ И ПОДРАЗДЕЛАМ КЛАССИФИКАЦИИ РАСХОДОВ БЮДЖЕТОВ</t>
  </si>
  <si>
    <t>Распределение бюджетных ассигнований бюджета муниципального образования Нижнепавловский сельсовет Оренбургского района по разделам, подразделам, целевым статьям (муниципальным программам и непрограммным направлениям деятельности), группам и подгруппам видов расходов на 2023 год и плановый период 2024 и 2025 годы</t>
  </si>
  <si>
    <t>РАСПРЕДЕЛЕНИЕ БЮДЖЕТНЫХ АССИГНОВАНИЙ БЮДЖЕТА МУНИЦИПАЛЬНОГО ОБРАЗОВАНИЯ НИЖНЕПАВЛОВСКИЙ СЕЛЬСОВЕТ ОРЕНБУРГСКОГО РЙОНА ПО РАЗДЕЛАМ, ПОДРАЗДЕЛАМ, ЦЕЛЕВЫМ СТАТЬЯМ (МУНИЦИПАЛЬНЫМ ПРОГРАММАМ И НЕПРОГРАММНЫМ НАПРАВЛЕНИЯМ ДЕЯТЕЛЬНОСТИ),  ГРУППАМ И ПОДГРУППАМ ВИДОВ РАСХОДОВ КЛАССИФИКАЦИИ РАСХОДОВ НА 2023 ГОД И ПЛАНОВЫЙ ПЕРИОД 2024 И 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</si>
</sst>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  <numFmt numFmtId="176" formatCode="#,##0.00_ ;\-#,##0.00\ "/>
    <numFmt numFmtId="177" formatCode="#,##0.0"/>
    <numFmt numFmtId="178" formatCode="0.00_ ;[Red]\-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366F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0000FF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2"/>
      <name val="Times New Roman"/>
      <charset val="204"/>
    </font>
    <font>
      <sz val="8"/>
      <name val="Arial"/>
      <charset val="204"/>
    </font>
    <font>
      <sz val="9"/>
      <name val="Arial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b/>
      <sz val="1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175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481">
    <xf numFmtId="0" fontId="0" fillId="0" borderId="0" xfId="0"/>
    <xf numFmtId="0" fontId="13" fillId="0" borderId="0" xfId="2"/>
    <xf numFmtId="0" fontId="6" fillId="0" borderId="0" xfId="22" applyFont="1" applyFill="1" applyAlignment="1" applyProtection="1">
      <alignment horizontal="left"/>
    </xf>
    <xf numFmtId="0" fontId="8" fillId="0" borderId="0" xfId="2" applyFont="1" applyAlignment="1">
      <alignment horizontal="center"/>
    </xf>
    <xf numFmtId="0" fontId="14" fillId="0" borderId="0" xfId="2" applyFont="1"/>
    <xf numFmtId="0" fontId="7" fillId="0" borderId="14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justify" vertical="top" wrapText="1"/>
    </xf>
    <xf numFmtId="0" fontId="7" fillId="0" borderId="14" xfId="2" applyFont="1" applyBorder="1" applyAlignment="1">
      <alignment horizontal="center" wrapText="1"/>
    </xf>
    <xf numFmtId="0" fontId="8" fillId="0" borderId="14" xfId="2" applyFont="1" applyBorder="1" applyAlignment="1">
      <alignment horizontal="justify" vertical="top" wrapText="1"/>
    </xf>
    <xf numFmtId="0" fontId="8" fillId="0" borderId="14" xfId="2" applyFont="1" applyBorder="1" applyAlignment="1">
      <alignment horizontal="center" wrapText="1"/>
    </xf>
    <xf numFmtId="0" fontId="6" fillId="0" borderId="0" xfId="22" applyFont="1" applyFill="1" applyAlignment="1" applyProtection="1"/>
    <xf numFmtId="0" fontId="6" fillId="0" borderId="0" xfId="22" applyFont="1" applyFill="1" applyAlignment="1" applyProtection="1">
      <alignment wrapText="1"/>
    </xf>
    <xf numFmtId="0" fontId="7" fillId="0" borderId="0" xfId="2" applyFont="1" applyAlignment="1">
      <alignment horizontal="center"/>
    </xf>
    <xf numFmtId="0" fontId="7" fillId="0" borderId="14" xfId="2" applyFont="1" applyBorder="1" applyAlignment="1">
      <alignment horizontal="center" vertical="top" wrapText="1"/>
    </xf>
    <xf numFmtId="14" fontId="7" fillId="0" borderId="14" xfId="2" applyNumberFormat="1" applyFont="1" applyBorder="1" applyAlignment="1">
      <alignment horizontal="center" vertical="top" wrapText="1"/>
    </xf>
    <xf numFmtId="0" fontId="7" fillId="0" borderId="14" xfId="2" applyFont="1" applyBorder="1" applyAlignment="1">
      <alignment vertical="top" wrapText="1"/>
    </xf>
    <xf numFmtId="0" fontId="6" fillId="0" borderId="0" xfId="22" applyFont="1" applyFill="1" applyProtection="1"/>
    <xf numFmtId="174" fontId="6" fillId="0" borderId="0" xfId="23" applyNumberFormat="1" applyFont="1" applyFill="1" applyProtection="1"/>
    <xf numFmtId="0" fontId="6" fillId="0" borderId="0" xfId="22" applyFont="1" applyFill="1" applyProtection="1">
      <protection locked="0"/>
    </xf>
    <xf numFmtId="0" fontId="6" fillId="0" borderId="0" xfId="22" applyFont="1"/>
    <xf numFmtId="0" fontId="6" fillId="0" borderId="0" xfId="22" applyFont="1" applyFill="1" applyAlignment="1" applyProtection="1">
      <protection locked="0"/>
    </xf>
    <xf numFmtId="174" fontId="6" fillId="0" borderId="0" xfId="23" applyNumberFormat="1" applyFont="1" applyFill="1" applyAlignment="1" applyProtection="1">
      <alignment horizontal="center"/>
      <protection locked="0"/>
    </xf>
    <xf numFmtId="174" fontId="6" fillId="0" borderId="0" xfId="23" applyNumberFormat="1" applyFont="1" applyFill="1" applyAlignment="1" applyProtection="1">
      <alignment horizontal="right"/>
      <protection locked="0"/>
    </xf>
    <xf numFmtId="0" fontId="16" fillId="0" borderId="38" xfId="22" applyFont="1" applyBorder="1" applyAlignment="1">
      <alignment horizontal="center" vertical="center" wrapText="1"/>
    </xf>
    <xf numFmtId="0" fontId="16" fillId="0" borderId="39" xfId="22" applyFont="1" applyBorder="1" applyAlignment="1">
      <alignment horizontal="center" vertical="center" wrapText="1"/>
    </xf>
    <xf numFmtId="0" fontId="17" fillId="3" borderId="33" xfId="22" applyFont="1" applyFill="1" applyBorder="1" applyAlignment="1">
      <alignment horizontal="center" vertical="center" wrapText="1"/>
    </xf>
    <xf numFmtId="0" fontId="17" fillId="3" borderId="29" xfId="22" applyFont="1" applyFill="1" applyBorder="1" applyAlignment="1">
      <alignment horizontal="center" vertical="center" wrapText="1"/>
    </xf>
    <xf numFmtId="0" fontId="17" fillId="3" borderId="34" xfId="22" applyFont="1" applyFill="1" applyBorder="1" applyAlignment="1">
      <alignment horizontal="center" vertical="center" wrapText="1"/>
    </xf>
    <xf numFmtId="0" fontId="4" fillId="0" borderId="0" xfId="22" applyFont="1"/>
    <xf numFmtId="0" fontId="17" fillId="0" borderId="27" xfId="22" applyFont="1" applyBorder="1" applyAlignment="1">
      <alignment horizontal="center" vertical="center" wrapText="1"/>
    </xf>
    <xf numFmtId="0" fontId="17" fillId="0" borderId="14" xfId="22" applyFont="1" applyBorder="1" applyAlignment="1">
      <alignment horizontal="left" vertical="top" wrapText="1"/>
    </xf>
    <xf numFmtId="0" fontId="17" fillId="0" borderId="14" xfId="22" applyFont="1" applyBorder="1" applyAlignment="1">
      <alignment horizontal="center" wrapText="1"/>
    </xf>
    <xf numFmtId="0" fontId="17" fillId="0" borderId="23" xfId="22" applyFont="1" applyBorder="1" applyAlignment="1">
      <alignment horizontal="center" wrapText="1"/>
    </xf>
    <xf numFmtId="0" fontId="16" fillId="0" borderId="27" xfId="22" applyFont="1" applyBorder="1" applyAlignment="1">
      <alignment horizontal="center" vertical="center" wrapText="1"/>
    </xf>
    <xf numFmtId="0" fontId="16" fillId="0" borderId="14" xfId="22" applyFont="1" applyBorder="1" applyAlignment="1">
      <alignment horizontal="left" vertical="top" wrapText="1"/>
    </xf>
    <xf numFmtId="0" fontId="16" fillId="0" borderId="14" xfId="22" applyFont="1" applyBorder="1" applyAlignment="1">
      <alignment horizontal="center" wrapText="1"/>
    </xf>
    <xf numFmtId="0" fontId="16" fillId="0" borderId="23" xfId="22" applyFont="1" applyBorder="1" applyAlignment="1">
      <alignment horizontal="center" wrapText="1"/>
    </xf>
    <xf numFmtId="49" fontId="4" fillId="2" borderId="27" xfId="22" applyNumberFormat="1" applyFont="1" applyFill="1" applyBorder="1" applyAlignment="1" applyProtection="1">
      <alignment horizontal="center"/>
    </xf>
    <xf numFmtId="0" fontId="4" fillId="2" borderId="14" xfId="22" applyNumberFormat="1" applyFont="1" applyFill="1" applyBorder="1" applyAlignment="1" applyProtection="1">
      <alignment horizontal="left" vertical="center" wrapText="1"/>
    </xf>
    <xf numFmtId="49" fontId="6" fillId="2" borderId="27" xfId="22" applyNumberFormat="1" applyFont="1" applyFill="1" applyBorder="1" applyAlignment="1" applyProtection="1">
      <alignment horizontal="center"/>
    </xf>
    <xf numFmtId="0" fontId="6" fillId="2" borderId="14" xfId="22" applyNumberFormat="1" applyFont="1" applyFill="1" applyBorder="1" applyAlignment="1" applyProtection="1">
      <alignment horizontal="left" vertical="center" wrapText="1"/>
    </xf>
    <xf numFmtId="49" fontId="6" fillId="0" borderId="27" xfId="22" applyNumberFormat="1" applyFont="1" applyFill="1" applyBorder="1" applyAlignment="1" applyProtection="1">
      <alignment horizontal="center"/>
    </xf>
    <xf numFmtId="0" fontId="6" fillId="0" borderId="14" xfId="22" applyNumberFormat="1" applyFont="1" applyFill="1" applyBorder="1" applyAlignment="1" applyProtection="1">
      <alignment horizontal="left" vertical="center" wrapText="1"/>
    </xf>
    <xf numFmtId="0" fontId="17" fillId="3" borderId="27" xfId="22" applyFont="1" applyFill="1" applyBorder="1" applyAlignment="1">
      <alignment horizontal="center" vertical="center" wrapText="1"/>
    </xf>
    <xf numFmtId="0" fontId="17" fillId="3" borderId="14" xfId="22" applyFont="1" applyFill="1" applyBorder="1" applyAlignment="1">
      <alignment horizontal="left" vertical="center" wrapText="1"/>
    </xf>
    <xf numFmtId="0" fontId="17" fillId="3" borderId="14" xfId="22" applyFont="1" applyFill="1" applyBorder="1" applyAlignment="1">
      <alignment horizontal="center" vertical="center" wrapText="1"/>
    </xf>
    <xf numFmtId="0" fontId="18" fillId="0" borderId="14" xfId="22" applyFont="1" applyBorder="1" applyAlignment="1">
      <alignment horizontal="left" vertical="top" wrapText="1"/>
    </xf>
    <xf numFmtId="0" fontId="18" fillId="0" borderId="14" xfId="22" applyFont="1" applyBorder="1" applyAlignment="1">
      <alignment horizontal="center" wrapText="1"/>
    </xf>
    <xf numFmtId="0" fontId="18" fillId="0" borderId="23" xfId="22" applyFont="1" applyBorder="1" applyAlignment="1">
      <alignment horizontal="center" wrapText="1"/>
    </xf>
    <xf numFmtId="49" fontId="6" fillId="0" borderId="27" xfId="22" applyNumberFormat="1" applyFont="1" applyBorder="1" applyAlignment="1" applyProtection="1">
      <alignment horizontal="center"/>
    </xf>
    <xf numFmtId="0" fontId="6" fillId="0" borderId="14" xfId="22" applyFont="1" applyBorder="1" applyAlignment="1">
      <alignment horizontal="left" vertical="top" wrapText="1"/>
    </xf>
    <xf numFmtId="0" fontId="6" fillId="2" borderId="14" xfId="2" applyFont="1" applyFill="1" applyBorder="1" applyAlignment="1">
      <alignment vertical="top" wrapText="1"/>
    </xf>
    <xf numFmtId="0" fontId="18" fillId="0" borderId="27" xfId="22" applyFont="1" applyBorder="1" applyAlignment="1">
      <alignment horizontal="center" vertical="center" wrapText="1"/>
    </xf>
    <xf numFmtId="0" fontId="16" fillId="0" borderId="35" xfId="22" applyFont="1" applyBorder="1" applyAlignment="1">
      <alignment horizontal="center" vertical="center" wrapText="1"/>
    </xf>
    <xf numFmtId="0" fontId="17" fillId="0" borderId="2" xfId="22" applyFont="1" applyBorder="1" applyAlignment="1">
      <alignment wrapText="1"/>
    </xf>
    <xf numFmtId="0" fontId="17" fillId="0" borderId="2" xfId="22" applyFont="1" applyBorder="1" applyAlignment="1">
      <alignment horizontal="center" wrapText="1"/>
    </xf>
    <xf numFmtId="0" fontId="17" fillId="0" borderId="36" xfId="22" applyFont="1" applyBorder="1" applyAlignment="1">
      <alignment horizontal="center" wrapText="1"/>
    </xf>
    <xf numFmtId="0" fontId="6" fillId="0" borderId="0" xfId="22" applyFont="1" applyAlignment="1">
      <alignment vertical="center"/>
    </xf>
    <xf numFmtId="0" fontId="13" fillId="0" borderId="0" xfId="2" applyAlignment="1">
      <alignment vertical="center"/>
    </xf>
    <xf numFmtId="0" fontId="19" fillId="0" borderId="0" xfId="2" applyFont="1" applyAlignment="1">
      <alignment wrapText="1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wrapText="1"/>
    </xf>
    <xf numFmtId="0" fontId="7" fillId="0" borderId="14" xfId="2" applyFont="1" applyBorder="1" applyAlignment="1">
      <alignment horizontal="center" vertical="center"/>
    </xf>
    <xf numFmtId="0" fontId="7" fillId="2" borderId="14" xfId="2" applyFont="1" applyFill="1" applyBorder="1" applyAlignment="1">
      <alignment horizontal="left" vertical="center" wrapText="1"/>
    </xf>
    <xf numFmtId="0" fontId="7" fillId="2" borderId="14" xfId="2" applyFont="1" applyFill="1" applyBorder="1" applyAlignment="1">
      <alignment vertical="top" wrapText="1"/>
    </xf>
    <xf numFmtId="0" fontId="7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vertical="top" wrapText="1"/>
    </xf>
    <xf numFmtId="49" fontId="21" fillId="0" borderId="14" xfId="20" applyNumberFormat="1" applyFont="1" applyFill="1" applyBorder="1" applyAlignment="1">
      <alignment horizontal="left" vertical="center" wrapText="1"/>
    </xf>
    <xf numFmtId="0" fontId="21" fillId="0" borderId="14" xfId="20" applyFont="1" applyFill="1" applyBorder="1" applyAlignment="1">
      <alignment horizontal="justify" vertical="center" wrapText="1"/>
    </xf>
    <xf numFmtId="0" fontId="7" fillId="0" borderId="0" xfId="2" applyFont="1"/>
    <xf numFmtId="0" fontId="21" fillId="0" borderId="3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justify" vertical="center" wrapText="1"/>
    </xf>
    <xf numFmtId="0" fontId="24" fillId="0" borderId="3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justify" vertical="center" wrapText="1"/>
    </xf>
    <xf numFmtId="0" fontId="21" fillId="0" borderId="26" xfId="0" applyFont="1" applyBorder="1" applyAlignment="1">
      <alignment vertical="center" wrapText="1"/>
    </xf>
    <xf numFmtId="0" fontId="21" fillId="0" borderId="4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justify" vertical="center" wrapText="1"/>
    </xf>
    <xf numFmtId="0" fontId="27" fillId="0" borderId="40" xfId="0" applyFont="1" applyBorder="1" applyAlignment="1">
      <alignment horizontal="justify" vertical="center" wrapText="1"/>
    </xf>
    <xf numFmtId="0" fontId="21" fillId="0" borderId="19" xfId="0" applyFont="1" applyBorder="1" applyAlignment="1">
      <alignment vertical="center" wrapText="1"/>
    </xf>
    <xf numFmtId="0" fontId="21" fillId="0" borderId="20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24" applyFont="1" applyFill="1" applyProtection="1"/>
    <xf numFmtId="0" fontId="6" fillId="0" borderId="0" xfId="24" applyFont="1" applyFill="1" applyAlignment="1" applyProtection="1"/>
    <xf numFmtId="0" fontId="6" fillId="0" borderId="0" xfId="24" applyFont="1" applyFill="1" applyAlignment="1" applyProtection="1">
      <alignment wrapText="1"/>
    </xf>
    <xf numFmtId="174" fontId="6" fillId="0" borderId="0" xfId="25" applyNumberFormat="1" applyFont="1" applyFill="1" applyProtection="1"/>
    <xf numFmtId="0" fontId="6" fillId="0" borderId="0" xfId="24" applyFont="1"/>
    <xf numFmtId="0" fontId="16" fillId="0" borderId="38" xfId="24" applyFont="1" applyBorder="1" applyAlignment="1">
      <alignment horizontal="center" vertical="center" wrapText="1"/>
    </xf>
    <xf numFmtId="0" fontId="16" fillId="0" borderId="39" xfId="24" applyFont="1" applyBorder="1" applyAlignment="1">
      <alignment horizontal="center" vertical="center" wrapText="1"/>
    </xf>
    <xf numFmtId="0" fontId="17" fillId="4" borderId="27" xfId="24" applyFont="1" applyFill="1" applyBorder="1" applyAlignment="1">
      <alignment horizontal="center" vertical="center" wrapText="1"/>
    </xf>
    <xf numFmtId="0" fontId="17" fillId="4" borderId="14" xfId="24" applyFont="1" applyFill="1" applyBorder="1" applyAlignment="1">
      <alignment horizontal="left" vertical="center" wrapText="1"/>
    </xf>
    <xf numFmtId="0" fontId="17" fillId="4" borderId="14" xfId="24" applyFont="1" applyFill="1" applyBorder="1" applyAlignment="1">
      <alignment horizontal="left" vertical="top" wrapText="1"/>
    </xf>
    <xf numFmtId="164" fontId="17" fillId="4" borderId="14" xfId="24" applyNumberFormat="1" applyFont="1" applyFill="1" applyBorder="1" applyAlignment="1">
      <alignment horizontal="center" wrapText="1"/>
    </xf>
    <xf numFmtId="164" fontId="17" fillId="4" borderId="23" xfId="24" applyNumberFormat="1" applyFont="1" applyFill="1" applyBorder="1" applyAlignment="1">
      <alignment horizontal="center" wrapText="1"/>
    </xf>
    <xf numFmtId="0" fontId="16" fillId="4" borderId="27" xfId="24" applyFont="1" applyFill="1" applyBorder="1" applyAlignment="1">
      <alignment horizontal="center" vertical="center" wrapText="1"/>
    </xf>
    <xf numFmtId="0" fontId="18" fillId="4" borderId="14" xfId="24" applyFont="1" applyFill="1" applyBorder="1" applyAlignment="1">
      <alignment horizontal="left" vertical="top" wrapText="1"/>
    </xf>
    <xf numFmtId="0" fontId="16" fillId="0" borderId="27" xfId="24" applyFont="1" applyFill="1" applyBorder="1" applyAlignment="1">
      <alignment horizontal="center" vertical="center" wrapText="1"/>
    </xf>
    <xf numFmtId="0" fontId="16" fillId="0" borderId="14" xfId="24" applyFont="1" applyFill="1" applyBorder="1" applyAlignment="1">
      <alignment horizontal="left" vertical="top" wrapText="1"/>
    </xf>
    <xf numFmtId="164" fontId="16" fillId="0" borderId="14" xfId="24" applyNumberFormat="1" applyFont="1" applyFill="1" applyBorder="1" applyAlignment="1">
      <alignment horizontal="center" wrapText="1"/>
    </xf>
    <xf numFmtId="0" fontId="6" fillId="0" borderId="14" xfId="2" applyFont="1" applyFill="1" applyBorder="1" applyAlignment="1">
      <alignment vertical="top" wrapText="1"/>
    </xf>
    <xf numFmtId="0" fontId="16" fillId="4" borderId="14" xfId="24" applyFont="1" applyFill="1" applyBorder="1" applyAlignment="1">
      <alignment horizontal="left" vertical="top" wrapText="1"/>
    </xf>
    <xf numFmtId="164" fontId="16" fillId="4" borderId="14" xfId="24" applyNumberFormat="1" applyFont="1" applyFill="1" applyBorder="1" applyAlignment="1">
      <alignment horizontal="center" wrapText="1"/>
    </xf>
    <xf numFmtId="49" fontId="6" fillId="0" borderId="27" xfId="24" applyNumberFormat="1" applyFont="1" applyFill="1" applyBorder="1" applyAlignment="1" applyProtection="1">
      <alignment horizontal="center"/>
    </xf>
    <xf numFmtId="0" fontId="6" fillId="0" borderId="14" xfId="24" applyFont="1" applyFill="1" applyBorder="1" applyAlignment="1">
      <alignment horizontal="left" vertical="top" wrapText="1"/>
    </xf>
    <xf numFmtId="0" fontId="4" fillId="4" borderId="14" xfId="2" applyFont="1" applyFill="1" applyBorder="1" applyAlignment="1">
      <alignment vertical="top" wrapText="1"/>
    </xf>
    <xf numFmtId="0" fontId="6" fillId="4" borderId="14" xfId="2" applyFont="1" applyFill="1" applyBorder="1" applyAlignment="1">
      <alignment vertical="top" wrapText="1"/>
    </xf>
    <xf numFmtId="164" fontId="16" fillId="4" borderId="23" xfId="24" applyNumberFormat="1" applyFont="1" applyFill="1" applyBorder="1" applyAlignment="1">
      <alignment horizontal="center" wrapText="1"/>
    </xf>
    <xf numFmtId="176" fontId="16" fillId="4" borderId="23" xfId="24" applyNumberFormat="1" applyFont="1" applyFill="1" applyBorder="1" applyAlignment="1">
      <alignment horizontal="center" wrapText="1"/>
    </xf>
    <xf numFmtId="0" fontId="6" fillId="0" borderId="27" xfId="24" applyFont="1" applyFill="1" applyBorder="1" applyAlignment="1">
      <alignment horizontal="center" vertical="center" wrapText="1"/>
    </xf>
    <xf numFmtId="164" fontId="6" fillId="0" borderId="14" xfId="24" applyNumberFormat="1" applyFont="1" applyFill="1" applyBorder="1" applyAlignment="1">
      <alignment horizontal="center" wrapText="1"/>
    </xf>
    <xf numFmtId="49" fontId="16" fillId="4" borderId="27" xfId="24" applyNumberFormat="1" applyFont="1" applyFill="1" applyBorder="1" applyAlignment="1">
      <alignment horizontal="center" vertical="center" wrapText="1"/>
    </xf>
    <xf numFmtId="49" fontId="16" fillId="0" borderId="27" xfId="24" applyNumberFormat="1" applyFont="1" applyFill="1" applyBorder="1" applyAlignment="1">
      <alignment horizontal="center" vertical="center" wrapText="1"/>
    </xf>
    <xf numFmtId="0" fontId="29" fillId="0" borderId="14" xfId="2" applyFont="1" applyFill="1" applyBorder="1" applyAlignment="1">
      <alignment vertical="top" wrapText="1"/>
    </xf>
    <xf numFmtId="0" fontId="30" fillId="4" borderId="27" xfId="24" applyFont="1" applyFill="1" applyBorder="1" applyAlignment="1">
      <alignment horizontal="center" vertical="center" wrapText="1"/>
    </xf>
    <xf numFmtId="0" fontId="30" fillId="4" borderId="14" xfId="24" applyFont="1" applyFill="1" applyBorder="1" applyAlignment="1">
      <alignment horizontal="left" vertical="top" wrapText="1"/>
    </xf>
    <xf numFmtId="0" fontId="31" fillId="0" borderId="0" xfId="0" applyFont="1" applyBorder="1" applyAlignment="1">
      <alignment wrapText="1"/>
    </xf>
    <xf numFmtId="49" fontId="6" fillId="0" borderId="27" xfId="24" applyNumberFormat="1" applyFont="1" applyFill="1" applyBorder="1" applyAlignment="1">
      <alignment horizontal="center" vertical="center" wrapText="1"/>
    </xf>
    <xf numFmtId="164" fontId="30" fillId="4" borderId="14" xfId="24" applyNumberFormat="1" applyFont="1" applyFill="1" applyBorder="1" applyAlignment="1">
      <alignment horizontal="center" wrapText="1"/>
    </xf>
    <xf numFmtId="164" fontId="30" fillId="4" borderId="23" xfId="24" applyNumberFormat="1" applyFont="1" applyFill="1" applyBorder="1" applyAlignment="1">
      <alignment horizontal="center" wrapText="1"/>
    </xf>
    <xf numFmtId="0" fontId="16" fillId="0" borderId="27" xfId="24" applyFont="1" applyBorder="1" applyAlignment="1">
      <alignment horizontal="center" vertical="center" wrapText="1"/>
    </xf>
    <xf numFmtId="0" fontId="16" fillId="0" borderId="14" xfId="24" applyFont="1" applyBorder="1" applyAlignment="1">
      <alignment horizontal="left" vertical="top" wrapText="1"/>
    </xf>
    <xf numFmtId="164" fontId="16" fillId="0" borderId="14" xfId="24" applyNumberFormat="1" applyFont="1" applyBorder="1" applyAlignment="1">
      <alignment horizontal="center" wrapText="1"/>
    </xf>
    <xf numFmtId="0" fontId="17" fillId="4" borderId="14" xfId="24" applyFont="1" applyFill="1" applyBorder="1" applyAlignment="1">
      <alignment horizontal="center" wrapText="1"/>
    </xf>
    <xf numFmtId="0" fontId="17" fillId="4" borderId="23" xfId="24" applyFont="1" applyFill="1" applyBorder="1" applyAlignment="1">
      <alignment horizontal="center" wrapText="1"/>
    </xf>
    <xf numFmtId="0" fontId="6" fillId="4" borderId="27" xfId="24" applyFont="1" applyFill="1" applyBorder="1" applyAlignment="1">
      <alignment horizontal="center" vertical="center" wrapText="1"/>
    </xf>
    <xf numFmtId="49" fontId="17" fillId="4" borderId="14" xfId="24" applyNumberFormat="1" applyFont="1" applyFill="1" applyBorder="1" applyAlignment="1">
      <alignment horizontal="center" wrapText="1"/>
    </xf>
    <xf numFmtId="49" fontId="17" fillId="4" borderId="14" xfId="24" applyNumberFormat="1" applyFont="1" applyFill="1" applyBorder="1" applyAlignment="1">
      <alignment horizontal="right" vertical="center" wrapText="1"/>
    </xf>
    <xf numFmtId="49" fontId="17" fillId="4" borderId="23" xfId="24" applyNumberFormat="1" applyFont="1" applyFill="1" applyBorder="1" applyAlignment="1">
      <alignment horizontal="right" vertical="center" wrapText="1"/>
    </xf>
    <xf numFmtId="49" fontId="17" fillId="4" borderId="14" xfId="24" applyNumberFormat="1" applyFont="1" applyFill="1" applyBorder="1" applyAlignment="1">
      <alignment horizontal="right" wrapText="1"/>
    </xf>
    <xf numFmtId="49" fontId="17" fillId="4" borderId="23" xfId="24" applyNumberFormat="1" applyFont="1" applyFill="1" applyBorder="1" applyAlignment="1">
      <alignment horizontal="right" wrapText="1"/>
    </xf>
    <xf numFmtId="164" fontId="16" fillId="4" borderId="14" xfId="24" applyNumberFormat="1" applyFont="1" applyFill="1" applyBorder="1" applyAlignment="1">
      <alignment horizontal="right" wrapText="1"/>
    </xf>
    <xf numFmtId="0" fontId="16" fillId="4" borderId="14" xfId="24" applyFont="1" applyFill="1" applyBorder="1" applyAlignment="1">
      <alignment horizontal="right" wrapText="1"/>
    </xf>
    <xf numFmtId="0" fontId="16" fillId="4" borderId="23" xfId="24" applyFont="1" applyFill="1" applyBorder="1" applyAlignment="1">
      <alignment horizontal="right" wrapText="1"/>
    </xf>
    <xf numFmtId="49" fontId="16" fillId="4" borderId="14" xfId="24" applyNumberFormat="1" applyFont="1" applyFill="1" applyBorder="1" applyAlignment="1">
      <alignment horizontal="center" wrapText="1"/>
    </xf>
    <xf numFmtId="49" fontId="16" fillId="0" borderId="14" xfId="24" applyNumberFormat="1" applyFont="1" applyFill="1" applyBorder="1" applyAlignment="1">
      <alignment horizontal="center" wrapText="1"/>
    </xf>
    <xf numFmtId="49" fontId="16" fillId="4" borderId="14" xfId="24" applyNumberFormat="1" applyFont="1" applyFill="1" applyBorder="1" applyAlignment="1">
      <alignment horizontal="right" wrapText="1"/>
    </xf>
    <xf numFmtId="49" fontId="16" fillId="4" borderId="23" xfId="24" applyNumberFormat="1" applyFont="1" applyFill="1" applyBorder="1" applyAlignment="1">
      <alignment horizontal="right" wrapText="1"/>
    </xf>
    <xf numFmtId="49" fontId="16" fillId="0" borderId="14" xfId="24" applyNumberFormat="1" applyFont="1" applyFill="1" applyBorder="1" applyAlignment="1">
      <alignment horizontal="right" wrapText="1"/>
    </xf>
    <xf numFmtId="174" fontId="6" fillId="0" borderId="0" xfId="25" applyNumberFormat="1" applyFont="1" applyFill="1" applyAlignment="1" applyProtection="1">
      <alignment horizontal="right"/>
      <protection locked="0"/>
    </xf>
    <xf numFmtId="0" fontId="24" fillId="0" borderId="0" xfId="0" applyFont="1"/>
    <xf numFmtId="0" fontId="24" fillId="0" borderId="14" xfId="0" applyFont="1" applyBorder="1"/>
    <xf numFmtId="0" fontId="24" fillId="0" borderId="14" xfId="0" applyFont="1" applyBorder="1" applyAlignment="1">
      <alignment wrapText="1"/>
    </xf>
    <xf numFmtId="0" fontId="6" fillId="0" borderId="0" xfId="0" applyFont="1" applyAlignment="1"/>
    <xf numFmtId="0" fontId="6" fillId="0" borderId="0" xfId="0" quotePrefix="1" applyFont="1" applyAlignment="1"/>
    <xf numFmtId="0" fontId="0" fillId="0" borderId="0" xfId="0" applyFont="1"/>
    <xf numFmtId="0" fontId="1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168" fontId="6" fillId="0" borderId="14" xfId="0" applyNumberFormat="1" applyFont="1" applyBorder="1" applyAlignment="1">
      <alignment horizontal="center" vertical="center" wrapText="1"/>
    </xf>
    <xf numFmtId="169" fontId="6" fillId="0" borderId="14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  <xf numFmtId="177" fontId="6" fillId="0" borderId="14" xfId="0" applyNumberFormat="1" applyFont="1" applyBorder="1" applyAlignment="1">
      <alignment horizontal="center" vertical="center" wrapText="1"/>
    </xf>
    <xf numFmtId="0" fontId="3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6" fillId="0" borderId="19" xfId="0" applyFont="1" applyBorder="1" applyAlignment="1">
      <alignment horizontal="center" vertical="top" wrapText="1"/>
    </xf>
    <xf numFmtId="0" fontId="33" fillId="0" borderId="19" xfId="0" applyFont="1" applyBorder="1" applyAlignment="1">
      <alignment horizontal="center" vertical="top" wrapText="1"/>
    </xf>
    <xf numFmtId="49" fontId="26" fillId="0" borderId="26" xfId="0" applyNumberFormat="1" applyFont="1" applyBorder="1" applyAlignment="1">
      <alignment vertical="top"/>
    </xf>
    <xf numFmtId="0" fontId="26" fillId="0" borderId="40" xfId="0" applyFont="1" applyBorder="1" applyAlignment="1">
      <alignment vertical="top" wrapText="1"/>
    </xf>
    <xf numFmtId="178" fontId="26" fillId="0" borderId="40" xfId="0" applyNumberFormat="1" applyFont="1" applyBorder="1" applyAlignment="1">
      <alignment horizontal="right" vertical="top" wrapText="1"/>
    </xf>
    <xf numFmtId="49" fontId="26" fillId="0" borderId="31" xfId="0" applyNumberFormat="1" applyFont="1" applyBorder="1" applyAlignment="1">
      <alignment vertical="top"/>
    </xf>
    <xf numFmtId="0" fontId="26" fillId="0" borderId="37" xfId="0" applyFont="1" applyBorder="1" applyAlignment="1">
      <alignment vertical="top" wrapText="1"/>
    </xf>
    <xf numFmtId="178" fontId="26" fillId="0" borderId="37" xfId="0" applyNumberFormat="1" applyFont="1" applyBorder="1" applyAlignment="1">
      <alignment horizontal="right" vertical="top" wrapText="1"/>
    </xf>
    <xf numFmtId="49" fontId="33" fillId="0" borderId="31" xfId="0" applyNumberFormat="1" applyFont="1" applyBorder="1" applyAlignment="1">
      <alignment vertical="top"/>
    </xf>
    <xf numFmtId="178" fontId="28" fillId="0" borderId="37" xfId="0" applyNumberFormat="1" applyFont="1" applyBorder="1" applyAlignment="1">
      <alignment vertical="top" wrapText="1"/>
    </xf>
    <xf numFmtId="178" fontId="28" fillId="5" borderId="37" xfId="0" applyNumberFormat="1" applyFont="1" applyFill="1" applyBorder="1" applyAlignment="1">
      <alignment vertical="top" wrapText="1"/>
    </xf>
    <xf numFmtId="178" fontId="26" fillId="5" borderId="37" xfId="0" applyNumberFormat="1" applyFont="1" applyFill="1" applyBorder="1" applyAlignment="1">
      <alignment horizontal="right" vertical="top" wrapText="1"/>
    </xf>
    <xf numFmtId="0" fontId="10" fillId="0" borderId="0" xfId="0" applyFont="1"/>
    <xf numFmtId="0" fontId="34" fillId="0" borderId="0" xfId="0" applyFont="1" applyBorder="1" applyAlignment="1">
      <alignment horizontal="right" vertical="top" wrapText="1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justify"/>
    </xf>
    <xf numFmtId="0" fontId="35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/>
    </xf>
    <xf numFmtId="0" fontId="35" fillId="0" borderId="0" xfId="0" applyFont="1" applyAlignment="1">
      <alignment horizontal="justify"/>
    </xf>
    <xf numFmtId="0" fontId="35" fillId="0" borderId="0" xfId="0" applyFont="1"/>
    <xf numFmtId="0" fontId="37" fillId="0" borderId="0" xfId="26" applyAlignment="1" applyProtection="1">
      <alignment horizontal="justify"/>
    </xf>
    <xf numFmtId="0" fontId="26" fillId="0" borderId="0" xfId="0" applyFont="1" applyAlignment="1">
      <alignment horizontal="justify"/>
    </xf>
    <xf numFmtId="0" fontId="26" fillId="0" borderId="0" xfId="0" applyFont="1" applyAlignment="1">
      <alignment horizontal="left" indent="15"/>
    </xf>
    <xf numFmtId="0" fontId="21" fillId="0" borderId="0" xfId="0" applyFont="1" applyAlignment="1">
      <alignment horizontal="justify"/>
    </xf>
    <xf numFmtId="2" fontId="17" fillId="0" borderId="14" xfId="22" applyNumberFormat="1" applyFont="1" applyBorder="1" applyAlignment="1">
      <alignment horizontal="center" wrapText="1"/>
    </xf>
    <xf numFmtId="2" fontId="17" fillId="0" borderId="23" xfId="22" applyNumberFormat="1" applyFont="1" applyBorder="1" applyAlignment="1">
      <alignment horizontal="center" wrapText="1"/>
    </xf>
    <xf numFmtId="2" fontId="16" fillId="0" borderId="14" xfId="22" applyNumberFormat="1" applyFont="1" applyBorder="1" applyAlignment="1">
      <alignment horizontal="center" wrapText="1"/>
    </xf>
    <xf numFmtId="2" fontId="16" fillId="0" borderId="23" xfId="22" applyNumberFormat="1" applyFont="1" applyBorder="1" applyAlignment="1">
      <alignment horizontal="center" wrapText="1"/>
    </xf>
    <xf numFmtId="49" fontId="16" fillId="0" borderId="27" xfId="22" applyNumberFormat="1" applyFont="1" applyBorder="1" applyAlignment="1">
      <alignment horizontal="center" vertical="center" wrapText="1"/>
    </xf>
    <xf numFmtId="0" fontId="16" fillId="0" borderId="14" xfId="22" applyFont="1" applyFill="1" applyBorder="1" applyAlignment="1">
      <alignment horizontal="center" wrapText="1"/>
    </xf>
    <xf numFmtId="0" fontId="6" fillId="0" borderId="0" xfId="22" applyFont="1" applyFill="1" applyAlignment="1" applyProtection="1">
      <alignment horizontal="center"/>
    </xf>
    <xf numFmtId="0" fontId="0" fillId="0" borderId="0" xfId="0" applyAlignment="1">
      <alignment horizontal="center" vertical="center"/>
    </xf>
    <xf numFmtId="178" fontId="26" fillId="0" borderId="37" xfId="0" applyNumberFormat="1" applyFont="1" applyFill="1" applyBorder="1" applyAlignment="1">
      <alignment horizontal="right" vertical="top" wrapText="1"/>
    </xf>
    <xf numFmtId="0" fontId="24" fillId="0" borderId="14" xfId="0" applyFont="1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11" fillId="0" borderId="0" xfId="0" applyNumberFormat="1" applyFont="1" applyFill="1" applyAlignment="1" applyProtection="1">
      <protection hidden="1"/>
    </xf>
    <xf numFmtId="0" fontId="11" fillId="0" borderId="0" xfId="0" applyNumberFormat="1" applyFont="1" applyFill="1" applyAlignment="1" applyProtection="1">
      <alignment horizontal="centerContinuous" vertical="center"/>
      <protection hidden="1"/>
    </xf>
    <xf numFmtId="0" fontId="2" fillId="0" borderId="0" xfId="0" applyNumberFormat="1" applyFont="1" applyFill="1" applyAlignment="1" applyProtection="1">
      <alignment horizontal="centerContinuous" vertical="top"/>
      <protection hidden="1"/>
    </xf>
    <xf numFmtId="0" fontId="3" fillId="0" borderId="0" xfId="0" applyNumberFormat="1" applyFont="1" applyFill="1" applyAlignment="1" applyProtection="1">
      <protection hidden="1"/>
    </xf>
    <xf numFmtId="0" fontId="10" fillId="0" borderId="19" xfId="0" applyNumberFormat="1" applyFont="1" applyFill="1" applyBorder="1" applyAlignment="1" applyProtection="1">
      <alignment horizontal="centerContinuous" vertical="center" wrapText="1"/>
      <protection hidden="1"/>
    </xf>
    <xf numFmtId="168" fontId="8" fillId="0" borderId="15" xfId="0" applyNumberFormat="1" applyFont="1" applyFill="1" applyBorder="1" applyAlignment="1" applyProtection="1">
      <alignment horizontal="center" vertical="center"/>
      <protection hidden="1"/>
    </xf>
    <xf numFmtId="168" fontId="9" fillId="0" borderId="15" xfId="0" applyNumberFormat="1" applyFont="1" applyFill="1" applyBorder="1" applyAlignment="1" applyProtection="1">
      <alignment horizontal="center" vertical="center"/>
      <protection hidden="1"/>
    </xf>
    <xf numFmtId="168" fontId="7" fillId="0" borderId="15" xfId="0" applyNumberFormat="1" applyFont="1" applyFill="1" applyBorder="1" applyAlignment="1" applyProtection="1">
      <alignment horizontal="center" vertical="center"/>
      <protection hidden="1"/>
    </xf>
    <xf numFmtId="168" fontId="7" fillId="0" borderId="12" xfId="0" applyNumberFormat="1" applyFont="1" applyFill="1" applyBorder="1" applyAlignment="1" applyProtection="1">
      <alignment horizontal="center" vertical="center"/>
      <protection hidden="1"/>
    </xf>
    <xf numFmtId="168" fontId="7" fillId="0" borderId="9" xfId="0" applyNumberFormat="1" applyFont="1" applyFill="1" applyBorder="1" applyAlignment="1" applyProtection="1">
      <alignment horizontal="center" vertical="center"/>
      <protection hidden="1"/>
    </xf>
    <xf numFmtId="168" fontId="8" fillId="0" borderId="9" xfId="0" applyNumberFormat="1" applyFont="1" applyFill="1" applyBorder="1" applyAlignment="1" applyProtection="1">
      <alignment horizontal="center" vertical="center"/>
      <protection hidden="1"/>
    </xf>
    <xf numFmtId="168" fontId="8" fillId="0" borderId="16" xfId="0" applyNumberFormat="1" applyFont="1" applyFill="1" applyBorder="1" applyAlignment="1" applyProtection="1">
      <alignment horizontal="center" vertical="center"/>
      <protection hidden="1"/>
    </xf>
    <xf numFmtId="168" fontId="9" fillId="0" borderId="16" xfId="0" applyNumberFormat="1" applyFont="1" applyFill="1" applyBorder="1" applyAlignment="1" applyProtection="1">
      <alignment horizontal="center" vertical="center"/>
      <protection hidden="1"/>
    </xf>
    <xf numFmtId="168" fontId="7" fillId="0" borderId="16" xfId="0" applyNumberFormat="1" applyFont="1" applyFill="1" applyBorder="1" applyAlignment="1" applyProtection="1">
      <alignment horizontal="center" vertical="center"/>
      <protection hidden="1"/>
    </xf>
    <xf numFmtId="168" fontId="7" fillId="0" borderId="14" xfId="0" applyNumberFormat="1" applyFont="1" applyFill="1" applyBorder="1" applyAlignment="1" applyProtection="1">
      <alignment horizontal="center" vertical="center"/>
      <protection hidden="1"/>
    </xf>
    <xf numFmtId="168" fontId="7" fillId="0" borderId="8" xfId="0" applyNumberFormat="1" applyFont="1" applyFill="1" applyBorder="1" applyAlignment="1" applyProtection="1">
      <alignment horizontal="center" vertical="center"/>
      <protection hidden="1"/>
    </xf>
    <xf numFmtId="168" fontId="8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8" fontId="9" fillId="0" borderId="1" xfId="0" applyNumberFormat="1" applyFont="1" applyFill="1" applyBorder="1" applyAlignment="1" applyProtection="1">
      <alignment horizontal="center" vertical="center"/>
      <protection hidden="1"/>
    </xf>
    <xf numFmtId="168" fontId="7" fillId="0" borderId="1" xfId="0" applyNumberFormat="1" applyFont="1" applyFill="1" applyBorder="1" applyAlignment="1" applyProtection="1">
      <alignment horizontal="center" vertical="center"/>
      <protection hidden="1"/>
    </xf>
    <xf numFmtId="168" fontId="7" fillId="0" borderId="13" xfId="0" applyNumberFormat="1" applyFont="1" applyFill="1" applyBorder="1" applyAlignment="1" applyProtection="1">
      <alignment horizontal="center" vertical="center"/>
      <protection hidden="1"/>
    </xf>
    <xf numFmtId="168" fontId="7" fillId="0" borderId="0" xfId="0" applyNumberFormat="1" applyFont="1" applyFill="1" applyAlignment="1" applyProtection="1">
      <alignment horizontal="center" vertical="center"/>
      <protection hidden="1"/>
    </xf>
    <xf numFmtId="168" fontId="8" fillId="0" borderId="0" xfId="0" applyNumberFormat="1" applyFont="1" applyFill="1" applyAlignment="1" applyProtection="1">
      <alignment horizontal="center" vertical="center"/>
      <protection hidden="1"/>
    </xf>
    <xf numFmtId="0" fontId="11" fillId="0" borderId="0" xfId="0" applyNumberFormat="1" applyFont="1" applyFill="1" applyAlignment="1" applyProtection="1">
      <alignment horizontal="centerContinuous"/>
      <protection hidden="1"/>
    </xf>
    <xf numFmtId="1" fontId="8" fillId="0" borderId="1" xfId="0" applyNumberFormat="1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Fill="1" applyBorder="1" applyAlignment="1" applyProtection="1">
      <alignment horizontal="center" vertical="center"/>
      <protection hidden="1"/>
    </xf>
    <xf numFmtId="1" fontId="7" fillId="0" borderId="1" xfId="0" applyNumberFormat="1" applyFont="1" applyFill="1" applyBorder="1" applyAlignment="1" applyProtection="1">
      <alignment horizontal="center" vertical="center"/>
      <protection hidden="1"/>
    </xf>
    <xf numFmtId="1" fontId="7" fillId="0" borderId="13" xfId="0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Fill="1" applyAlignment="1" applyProtection="1">
      <alignment horizontal="center" vertical="center"/>
      <protection hidden="1"/>
    </xf>
    <xf numFmtId="1" fontId="8" fillId="0" borderId="0" xfId="0" applyNumberFormat="1" applyFont="1" applyFill="1" applyAlignment="1" applyProtection="1">
      <alignment horizontal="center" vertical="center"/>
      <protection hidden="1"/>
    </xf>
    <xf numFmtId="167" fontId="8" fillId="0" borderId="1" xfId="0" applyNumberFormat="1" applyFont="1" applyFill="1" applyBorder="1" applyAlignment="1" applyProtection="1">
      <alignment horizontal="center" vertical="center"/>
      <protection hidden="1"/>
    </xf>
    <xf numFmtId="167" fontId="9" fillId="0" borderId="1" xfId="0" applyNumberFormat="1" applyFont="1" applyFill="1" applyBorder="1" applyAlignment="1" applyProtection="1">
      <alignment horizontal="center" vertical="center"/>
      <protection hidden="1"/>
    </xf>
    <xf numFmtId="167" fontId="7" fillId="0" borderId="1" xfId="0" applyNumberFormat="1" applyFont="1" applyFill="1" applyBorder="1" applyAlignment="1" applyProtection="1">
      <alignment horizontal="center" vertical="center"/>
      <protection hidden="1"/>
    </xf>
    <xf numFmtId="167" fontId="7" fillId="0" borderId="13" xfId="0" applyNumberFormat="1" applyFont="1" applyFill="1" applyBorder="1" applyAlignment="1" applyProtection="1">
      <alignment horizontal="center" vertical="center"/>
      <protection hidden="1"/>
    </xf>
    <xf numFmtId="167" fontId="7" fillId="0" borderId="0" xfId="0" applyNumberFormat="1" applyFont="1" applyFill="1" applyAlignment="1" applyProtection="1">
      <alignment horizontal="center" vertical="center"/>
      <protection hidden="1"/>
    </xf>
    <xf numFmtId="167" fontId="8" fillId="0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NumberFormat="1" applyFont="1" applyFill="1" applyAlignment="1" applyProtection="1">
      <alignment horizontal="left"/>
      <protection hidden="1"/>
    </xf>
    <xf numFmtId="0" fontId="10" fillId="0" borderId="20" xfId="0" applyNumberFormat="1" applyFont="1" applyFill="1" applyBorder="1" applyAlignment="1" applyProtection="1">
      <alignment horizontal="centerContinuous" vertical="center" wrapText="1"/>
      <protection hidden="1"/>
    </xf>
    <xf numFmtId="166" fontId="8" fillId="0" borderId="16" xfId="0" applyNumberFormat="1" applyFont="1" applyFill="1" applyBorder="1" applyAlignment="1" applyProtection="1">
      <alignment horizontal="center" vertical="center"/>
      <protection hidden="1"/>
    </xf>
    <xf numFmtId="166" fontId="9" fillId="0" borderId="16" xfId="0" applyNumberFormat="1" applyFont="1" applyFill="1" applyBorder="1" applyAlignment="1" applyProtection="1">
      <alignment horizontal="center" vertical="center"/>
      <protection hidden="1"/>
    </xf>
    <xf numFmtId="166" fontId="7" fillId="0" borderId="16" xfId="0" applyNumberFormat="1" applyFont="1" applyFill="1" applyBorder="1" applyAlignment="1" applyProtection="1">
      <alignment horizontal="center" vertical="center"/>
      <protection hidden="1"/>
    </xf>
    <xf numFmtId="166" fontId="7" fillId="0" borderId="14" xfId="0" applyNumberFormat="1" applyFont="1" applyFill="1" applyBorder="1" applyAlignment="1" applyProtection="1">
      <alignment horizontal="center" vertical="center"/>
      <protection hidden="1"/>
    </xf>
    <xf numFmtId="166" fontId="7" fillId="0" borderId="8" xfId="0" applyNumberFormat="1" applyFont="1" applyFill="1" applyBorder="1" applyAlignment="1" applyProtection="1">
      <alignment horizontal="center" vertical="center"/>
      <protection hidden="1"/>
    </xf>
    <xf numFmtId="166" fontId="8" fillId="0" borderId="8" xfId="0" applyNumberFormat="1" applyFont="1" applyFill="1" applyBorder="1" applyAlignment="1" applyProtection="1">
      <alignment horizontal="center" vertical="center"/>
      <protection hidden="1"/>
    </xf>
    <xf numFmtId="165" fontId="8" fillId="0" borderId="15" xfId="0" applyNumberFormat="1" applyFont="1" applyFill="1" applyBorder="1" applyAlignment="1" applyProtection="1">
      <alignment horizontal="right" vertical="center"/>
      <protection hidden="1"/>
    </xf>
    <xf numFmtId="165" fontId="9" fillId="0" borderId="15" xfId="0" applyNumberFormat="1" applyFont="1" applyFill="1" applyBorder="1" applyAlignment="1" applyProtection="1">
      <alignment horizontal="right" vertical="center"/>
      <protection hidden="1"/>
    </xf>
    <xf numFmtId="165" fontId="7" fillId="0" borderId="15" xfId="0" applyNumberFormat="1" applyFont="1" applyFill="1" applyBorder="1" applyAlignment="1" applyProtection="1">
      <alignment horizontal="right" vertical="center"/>
      <protection hidden="1"/>
    </xf>
    <xf numFmtId="165" fontId="7" fillId="0" borderId="12" xfId="0" applyNumberFormat="1" applyFont="1" applyFill="1" applyBorder="1" applyAlignment="1" applyProtection="1">
      <alignment horizontal="right" vertical="center"/>
      <protection hidden="1"/>
    </xf>
    <xf numFmtId="165" fontId="7" fillId="0" borderId="9" xfId="0" applyNumberFormat="1" applyFont="1" applyFill="1" applyBorder="1" applyAlignment="1" applyProtection="1">
      <alignment horizontal="right" vertical="center"/>
      <protection hidden="1"/>
    </xf>
    <xf numFmtId="165" fontId="8" fillId="0" borderId="9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NumberFormat="1" applyFont="1" applyFill="1" applyAlignment="1" applyProtection="1">
      <alignment horizontal="right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165" fontId="8" fillId="0" borderId="22" xfId="0" applyNumberFormat="1" applyFont="1" applyFill="1" applyBorder="1" applyAlignment="1" applyProtection="1">
      <alignment horizontal="right" vertical="center"/>
      <protection hidden="1"/>
    </xf>
    <xf numFmtId="165" fontId="9" fillId="0" borderId="22" xfId="0" applyNumberFormat="1" applyFont="1" applyFill="1" applyBorder="1" applyAlignment="1" applyProtection="1">
      <alignment horizontal="right" vertical="center"/>
      <protection hidden="1"/>
    </xf>
    <xf numFmtId="165" fontId="7" fillId="0" borderId="22" xfId="0" applyNumberFormat="1" applyFont="1" applyFill="1" applyBorder="1" applyAlignment="1" applyProtection="1">
      <alignment horizontal="right" vertical="center"/>
      <protection hidden="1"/>
    </xf>
    <xf numFmtId="165" fontId="7" fillId="0" borderId="23" xfId="0" applyNumberFormat="1" applyFont="1" applyFill="1" applyBorder="1" applyAlignment="1" applyProtection="1">
      <alignment horizontal="right" vertical="center"/>
      <protection hidden="1"/>
    </xf>
    <xf numFmtId="165" fontId="7" fillId="0" borderId="7" xfId="0" applyNumberFormat="1" applyFont="1" applyFill="1" applyBorder="1" applyAlignment="1" applyProtection="1">
      <alignment horizontal="right" vertical="center"/>
      <protection hidden="1"/>
    </xf>
    <xf numFmtId="165" fontId="8" fillId="0" borderId="7" xfId="0" applyNumberFormat="1" applyFont="1" applyFill="1" applyBorder="1" applyAlignment="1" applyProtection="1">
      <alignment horizontal="right" vertical="center"/>
      <protection hidden="1"/>
    </xf>
    <xf numFmtId="0" fontId="1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 applyProtection="1">
      <protection hidden="1"/>
    </xf>
    <xf numFmtId="0" fontId="11" fillId="0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NumberFormat="1" applyFont="1" applyFill="1" applyAlignment="1" applyProtection="1">
      <alignment horizontal="centerContinuous"/>
      <protection hidden="1"/>
    </xf>
    <xf numFmtId="0" fontId="7" fillId="0" borderId="0" xfId="0" applyNumberFormat="1" applyFont="1" applyFill="1" applyAlignment="1" applyProtection="1">
      <alignment horizontal="centerContinuous" vertical="center"/>
      <protection hidden="1"/>
    </xf>
    <xf numFmtId="0" fontId="3" fillId="0" borderId="0" xfId="0" applyNumberFormat="1" applyFont="1" applyFill="1" applyAlignment="1" applyProtection="1">
      <alignment horizontal="right" vertical="center"/>
      <protection hidden="1"/>
    </xf>
    <xf numFmtId="0" fontId="5" fillId="0" borderId="11" xfId="0" applyNumberFormat="1" applyFont="1" applyFill="1" applyBorder="1" applyAlignment="1" applyProtection="1">
      <protection hidden="1"/>
    </xf>
    <xf numFmtId="0" fontId="3" fillId="0" borderId="11" xfId="0" applyNumberFormat="1" applyFont="1" applyFill="1" applyBorder="1" applyAlignment="1" applyProtection="1">
      <protection hidden="1"/>
    </xf>
    <xf numFmtId="166" fontId="9" fillId="0" borderId="1" xfId="0" applyNumberFormat="1" applyFont="1" applyFill="1" applyBorder="1" applyAlignment="1" applyProtection="1">
      <alignment horizontal="left" vertical="center" wrapText="1"/>
      <protection hidden="1"/>
    </xf>
    <xf numFmtId="166" fontId="9" fillId="0" borderId="15" xfId="0" applyNumberFormat="1" applyFont="1" applyFill="1" applyBorder="1" applyAlignment="1" applyProtection="1">
      <alignment horizontal="center" vertical="center"/>
      <protection hidden="1"/>
    </xf>
    <xf numFmtId="170" fontId="8" fillId="0" borderId="15" xfId="0" applyNumberFormat="1" applyFont="1" applyFill="1" applyBorder="1" applyAlignment="1" applyProtection="1">
      <alignment horizontal="left" vertical="center" wrapText="1"/>
      <protection hidden="1"/>
    </xf>
    <xf numFmtId="166" fontId="8" fillId="0" borderId="15" xfId="0" applyNumberFormat="1" applyFont="1" applyFill="1" applyBorder="1" applyAlignment="1" applyProtection="1">
      <alignment horizontal="center" vertical="center"/>
      <protection hidden="1"/>
    </xf>
    <xf numFmtId="170" fontId="7" fillId="0" borderId="15" xfId="0" applyNumberFormat="1" applyFont="1" applyFill="1" applyBorder="1" applyAlignment="1" applyProtection="1">
      <alignment horizontal="left" vertical="center" wrapText="1"/>
      <protection hidden="1"/>
    </xf>
    <xf numFmtId="166" fontId="7" fillId="0" borderId="15" xfId="0" applyNumberFormat="1" applyFont="1" applyFill="1" applyBorder="1" applyAlignment="1" applyProtection="1">
      <alignment horizontal="center" vertical="center"/>
      <protection hidden="1"/>
    </xf>
    <xf numFmtId="169" fontId="7" fillId="0" borderId="15" xfId="0" applyNumberFormat="1" applyFont="1" applyFill="1" applyBorder="1" applyAlignment="1" applyProtection="1">
      <alignment horizontal="left" vertical="center" wrapText="1"/>
      <protection hidden="1"/>
    </xf>
    <xf numFmtId="166" fontId="7" fillId="0" borderId="12" xfId="0" applyNumberFormat="1" applyFont="1" applyFill="1" applyBorder="1" applyAlignment="1" applyProtection="1">
      <alignment horizontal="left" vertical="center" wrapText="1"/>
      <protection hidden="1"/>
    </xf>
    <xf numFmtId="166" fontId="7" fillId="0" borderId="12" xfId="0" applyNumberFormat="1" applyFont="1" applyFill="1" applyBorder="1" applyAlignment="1" applyProtection="1">
      <alignment horizontal="center" vertical="center"/>
      <protection hidden="1"/>
    </xf>
    <xf numFmtId="170" fontId="7" fillId="0" borderId="9" xfId="0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0" applyNumberFormat="1" applyFont="1" applyFill="1" applyBorder="1" applyAlignment="1" applyProtection="1">
      <alignment horizontal="center" vertical="center"/>
      <protection hidden="1"/>
    </xf>
    <xf numFmtId="166" fontId="7" fillId="0" borderId="15" xfId="0" applyNumberFormat="1" applyFont="1" applyFill="1" applyBorder="1" applyAlignment="1" applyProtection="1">
      <alignment horizontal="left" vertical="center" wrapText="1"/>
      <protection hidden="1"/>
    </xf>
    <xf numFmtId="169" fontId="7" fillId="0" borderId="9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9" xfId="0" applyNumberFormat="1" applyFont="1" applyFill="1" applyBorder="1" applyAlignment="1" applyProtection="1">
      <alignment horizontal="left" vertical="center" wrapText="1"/>
      <protection hidden="1"/>
    </xf>
    <xf numFmtId="166" fontId="8" fillId="0" borderId="9" xfId="0" applyNumberFormat="1" applyFont="1" applyFill="1" applyBorder="1" applyAlignment="1" applyProtection="1">
      <alignment horizontal="center" vertical="center"/>
      <protection hidden="1"/>
    </xf>
    <xf numFmtId="0" fontId="40" fillId="0" borderId="24" xfId="0" applyNumberFormat="1" applyFont="1" applyFill="1" applyBorder="1" applyAlignment="1" applyProtection="1">
      <protection hidden="1"/>
    </xf>
    <xf numFmtId="0" fontId="40" fillId="0" borderId="25" xfId="0" applyNumberFormat="1" applyFont="1" applyFill="1" applyBorder="1" applyAlignment="1" applyProtection="1">
      <protection hidden="1"/>
    </xf>
    <xf numFmtId="165" fontId="40" fillId="0" borderId="26" xfId="0" applyNumberFormat="1" applyFont="1" applyFill="1" applyBorder="1" applyAlignment="1" applyProtection="1">
      <protection hidden="1"/>
    </xf>
    <xf numFmtId="0" fontId="7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170" fontId="8" fillId="0" borderId="16" xfId="0" applyNumberFormat="1" applyFont="1" applyFill="1" applyBorder="1" applyAlignment="1" applyProtection="1">
      <alignment horizontal="left" vertical="center" wrapText="1"/>
      <protection hidden="1"/>
    </xf>
    <xf numFmtId="170" fontId="9" fillId="0" borderId="16" xfId="0" applyNumberFormat="1" applyFont="1" applyFill="1" applyBorder="1" applyAlignment="1" applyProtection="1">
      <alignment horizontal="left" vertical="center" wrapText="1"/>
      <protection hidden="1"/>
    </xf>
    <xf numFmtId="169" fontId="7" fillId="0" borderId="16" xfId="0" applyNumberFormat="1" applyFont="1" applyFill="1" applyBorder="1" applyAlignment="1" applyProtection="1">
      <alignment horizontal="left" vertical="center" wrapText="1"/>
      <protection hidden="1"/>
    </xf>
    <xf numFmtId="166" fontId="7" fillId="0" borderId="14" xfId="0" applyNumberFormat="1" applyFont="1" applyFill="1" applyBorder="1" applyAlignment="1" applyProtection="1">
      <alignment horizontal="left" vertical="center" wrapText="1"/>
      <protection hidden="1"/>
    </xf>
    <xf numFmtId="170" fontId="9" fillId="0" borderId="8" xfId="0" applyNumberFormat="1" applyFont="1" applyFill="1" applyBorder="1" applyAlignment="1" applyProtection="1">
      <alignment horizontal="left" vertical="center" wrapText="1"/>
      <protection hidden="1"/>
    </xf>
    <xf numFmtId="168" fontId="9" fillId="0" borderId="9" xfId="0" applyNumberFormat="1" applyFont="1" applyFill="1" applyBorder="1" applyAlignment="1" applyProtection="1">
      <alignment horizontal="center" vertical="center"/>
      <protection hidden="1"/>
    </xf>
    <xf numFmtId="168" fontId="9" fillId="0" borderId="8" xfId="0" applyNumberFormat="1" applyFont="1" applyFill="1" applyBorder="1" applyAlignment="1" applyProtection="1">
      <alignment horizontal="center" vertical="center"/>
      <protection hidden="1"/>
    </xf>
    <xf numFmtId="168" fontId="9" fillId="0" borderId="0" xfId="0" applyNumberFormat="1" applyFont="1" applyFill="1" applyAlignment="1" applyProtection="1">
      <alignment horizontal="center" vertical="center"/>
      <protection hidden="1"/>
    </xf>
    <xf numFmtId="1" fontId="9" fillId="0" borderId="0" xfId="0" applyNumberFormat="1" applyFont="1" applyFill="1" applyAlignment="1" applyProtection="1">
      <alignment horizontal="center" vertical="center"/>
      <protection hidden="1"/>
    </xf>
    <xf numFmtId="167" fontId="9" fillId="0" borderId="0" xfId="0" applyNumberFormat="1" applyFont="1" applyFill="1" applyAlignment="1" applyProtection="1">
      <alignment horizontal="center" vertical="center"/>
      <protection hidden="1"/>
    </xf>
    <xf numFmtId="166" fontId="9" fillId="0" borderId="8" xfId="0" applyNumberFormat="1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Fill="1" applyBorder="1" applyAlignment="1" applyProtection="1">
      <alignment horizontal="right" vertical="center"/>
      <protection hidden="1"/>
    </xf>
    <xf numFmtId="165" fontId="9" fillId="0" borderId="7" xfId="0" applyNumberFormat="1" applyFont="1" applyFill="1" applyBorder="1" applyAlignment="1" applyProtection="1">
      <alignment horizontal="right" vertical="center"/>
      <protection hidden="1"/>
    </xf>
    <xf numFmtId="166" fontId="7" fillId="0" borderId="16" xfId="0" applyNumberFormat="1" applyFont="1" applyFill="1" applyBorder="1" applyAlignment="1" applyProtection="1">
      <alignment horizontal="left" vertical="center" wrapText="1"/>
      <protection hidden="1"/>
    </xf>
    <xf numFmtId="169" fontId="7" fillId="0" borderId="8" xfId="0" applyNumberFormat="1" applyFont="1" applyFill="1" applyBorder="1" applyAlignment="1" applyProtection="1">
      <alignment horizontal="left" vertical="center" wrapText="1"/>
      <protection hidden="1"/>
    </xf>
    <xf numFmtId="170" fontId="8" fillId="0" borderId="8" xfId="0" applyNumberFormat="1" applyFont="1" applyFill="1" applyBorder="1" applyAlignment="1" applyProtection="1">
      <alignment horizontal="left" vertical="center" wrapText="1"/>
      <protection hidden="1"/>
    </xf>
    <xf numFmtId="0" fontId="8" fillId="0" borderId="5" xfId="0" applyNumberFormat="1" applyFont="1" applyFill="1" applyBorder="1" applyAlignment="1" applyProtection="1">
      <protection hidden="1"/>
    </xf>
    <xf numFmtId="0" fontId="8" fillId="0" borderId="4" xfId="0" applyNumberFormat="1" applyFont="1" applyFill="1" applyBorder="1" applyAlignment="1" applyProtection="1">
      <protection hidden="1"/>
    </xf>
    <xf numFmtId="165" fontId="8" fillId="0" borderId="2" xfId="0" applyNumberFormat="1" applyFont="1" applyFill="1" applyBorder="1" applyAlignment="1" applyProtection="1">
      <protection hidden="1"/>
    </xf>
    <xf numFmtId="165" fontId="8" fillId="0" borderId="41" xfId="0" applyNumberFormat="1" applyFont="1" applyFill="1" applyBorder="1" applyAlignment="1" applyProtection="1">
      <protection hidden="1"/>
    </xf>
    <xf numFmtId="165" fontId="8" fillId="0" borderId="36" xfId="0" applyNumberFormat="1" applyFont="1" applyFill="1" applyBorder="1" applyAlignment="1" applyProtection="1">
      <protection hidden="1"/>
    </xf>
    <xf numFmtId="0" fontId="41" fillId="0" borderId="0" xfId="0" applyNumberFormat="1" applyFont="1" applyFill="1" applyAlignment="1" applyProtection="1">
      <protection hidden="1"/>
    </xf>
    <xf numFmtId="0" fontId="42" fillId="0" borderId="0" xfId="0" applyNumberFormat="1" applyFont="1" applyFill="1" applyAlignment="1" applyProtection="1">
      <protection hidden="1"/>
    </xf>
    <xf numFmtId="0" fontId="42" fillId="0" borderId="0" xfId="0" applyNumberFormat="1" applyFont="1" applyFill="1" applyAlignment="1" applyProtection="1">
      <alignment horizontal="right"/>
      <protection hidden="1"/>
    </xf>
    <xf numFmtId="0" fontId="43" fillId="0" borderId="0" xfId="0" applyNumberFormat="1" applyFont="1" applyFill="1" applyAlignment="1" applyProtection="1">
      <alignment horizontal="left"/>
      <protection hidden="1"/>
    </xf>
    <xf numFmtId="0" fontId="42" fillId="0" borderId="0" xfId="0" applyNumberFormat="1" applyFont="1" applyFill="1" applyAlignment="1" applyProtection="1">
      <alignment horizontal="centerContinuous"/>
      <protection hidden="1"/>
    </xf>
    <xf numFmtId="0" fontId="42" fillId="0" borderId="0" xfId="0" applyNumberFormat="1" applyFont="1" applyFill="1" applyAlignment="1" applyProtection="1">
      <alignment horizontal="left" vertical="center"/>
      <protection hidden="1"/>
    </xf>
    <xf numFmtId="0" fontId="43" fillId="0" borderId="0" xfId="0" applyNumberFormat="1" applyFont="1" applyFill="1" applyAlignment="1" applyProtection="1">
      <alignment horizontal="centerContinuous"/>
      <protection hidden="1"/>
    </xf>
    <xf numFmtId="0" fontId="43" fillId="0" borderId="0" xfId="0" applyNumberFormat="1" applyFont="1" applyFill="1" applyAlignment="1" applyProtection="1">
      <alignment horizontal="centerContinuous" vertical="center"/>
      <protection hidden="1"/>
    </xf>
    <xf numFmtId="0" fontId="42" fillId="0" borderId="0" xfId="0" applyNumberFormat="1" applyFont="1" applyFill="1" applyAlignment="1" applyProtection="1">
      <alignment horizontal="centerContinuous" vertical="center"/>
      <protection hidden="1"/>
    </xf>
    <xf numFmtId="0" fontId="45" fillId="0" borderId="0" xfId="0" applyNumberFormat="1" applyFont="1" applyFill="1" applyAlignment="1" applyProtection="1">
      <alignment horizontal="centerContinuous" vertical="top"/>
      <protection hidden="1"/>
    </xf>
    <xf numFmtId="0" fontId="44" fillId="0" borderId="0" xfId="0" applyNumberFormat="1" applyFont="1" applyFill="1" applyAlignment="1" applyProtection="1">
      <alignment horizontal="right"/>
      <protection hidden="1"/>
    </xf>
    <xf numFmtId="0" fontId="47" fillId="0" borderId="3" xfId="0" applyNumberFormat="1" applyFont="1" applyFill="1" applyBorder="1" applyAlignment="1" applyProtection="1">
      <alignment horizontal="right" vertical="center"/>
      <protection hidden="1"/>
    </xf>
    <xf numFmtId="0" fontId="41" fillId="0" borderId="11" xfId="0" applyNumberFormat="1" applyFont="1" applyFill="1" applyBorder="1" applyAlignment="1" applyProtection="1">
      <protection hidden="1"/>
    </xf>
    <xf numFmtId="0" fontId="4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46" fillId="0" borderId="20" xfId="0" applyNumberFormat="1" applyFont="1" applyFill="1" applyBorder="1" applyAlignment="1" applyProtection="1">
      <alignment horizontal="centerContinuous" vertical="center" wrapText="1"/>
      <protection hidden="1"/>
    </xf>
    <xf numFmtId="0" fontId="46" fillId="0" borderId="19" xfId="0" applyNumberFormat="1" applyFont="1" applyFill="1" applyBorder="1" applyAlignment="1" applyProtection="1">
      <alignment horizontal="centerContinuous" vertical="center" wrapText="1"/>
      <protection hidden="1"/>
    </xf>
    <xf numFmtId="0" fontId="4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44" fillId="0" borderId="11" xfId="0" applyNumberFormat="1" applyFont="1" applyFill="1" applyBorder="1" applyAlignment="1" applyProtection="1">
      <protection hidden="1"/>
    </xf>
    <xf numFmtId="169" fontId="48" fillId="0" borderId="28" xfId="0" applyNumberFormat="1" applyFont="1" applyFill="1" applyBorder="1" applyAlignment="1" applyProtection="1">
      <alignment horizontal="left" vertical="center" wrapText="1"/>
      <protection hidden="1"/>
    </xf>
    <xf numFmtId="168" fontId="48" fillId="0" borderId="1" xfId="0" applyNumberFormat="1" applyFont="1" applyFill="1" applyBorder="1" applyAlignment="1" applyProtection="1">
      <alignment horizontal="center" vertical="center"/>
      <protection hidden="1"/>
    </xf>
    <xf numFmtId="1" fontId="48" fillId="0" borderId="1" xfId="0" applyNumberFormat="1" applyFont="1" applyFill="1" applyBorder="1" applyAlignment="1" applyProtection="1">
      <alignment horizontal="center" vertical="center"/>
      <protection hidden="1"/>
    </xf>
    <xf numFmtId="167" fontId="48" fillId="0" borderId="1" xfId="0" applyNumberFormat="1" applyFont="1" applyFill="1" applyBorder="1" applyAlignment="1" applyProtection="1">
      <alignment horizontal="center" vertical="center"/>
      <protection hidden="1"/>
    </xf>
    <xf numFmtId="168" fontId="48" fillId="0" borderId="15" xfId="0" applyNumberFormat="1" applyFont="1" applyFill="1" applyBorder="1" applyAlignment="1" applyProtection="1">
      <alignment horizontal="center" vertical="center"/>
      <protection hidden="1"/>
    </xf>
    <xf numFmtId="166" fontId="48" fillId="0" borderId="16" xfId="0" applyNumberFormat="1" applyFont="1" applyFill="1" applyBorder="1" applyAlignment="1" applyProtection="1">
      <alignment horizontal="center" vertical="center"/>
      <protection hidden="1"/>
    </xf>
    <xf numFmtId="165" fontId="48" fillId="0" borderId="15" xfId="0" applyNumberFormat="1" applyFont="1" applyFill="1" applyBorder="1" applyAlignment="1" applyProtection="1">
      <alignment horizontal="right" vertical="center"/>
      <protection hidden="1"/>
    </xf>
    <xf numFmtId="165" fontId="48" fillId="0" borderId="22" xfId="0" applyNumberFormat="1" applyFont="1" applyFill="1" applyBorder="1" applyAlignment="1" applyProtection="1">
      <alignment horizontal="right" vertical="center"/>
      <protection hidden="1"/>
    </xf>
    <xf numFmtId="169" fontId="43" fillId="0" borderId="28" xfId="0" applyNumberFormat="1" applyFont="1" applyFill="1" applyBorder="1" applyAlignment="1" applyProtection="1">
      <alignment horizontal="left" vertical="center" wrapText="1"/>
      <protection hidden="1"/>
    </xf>
    <xf numFmtId="168" fontId="43" fillId="0" borderId="1" xfId="0" applyNumberFormat="1" applyFont="1" applyFill="1" applyBorder="1" applyAlignment="1" applyProtection="1">
      <alignment horizontal="center" vertical="center"/>
      <protection hidden="1"/>
    </xf>
    <xf numFmtId="1" fontId="43" fillId="0" borderId="1" xfId="0" applyNumberFormat="1" applyFont="1" applyFill="1" applyBorder="1" applyAlignment="1" applyProtection="1">
      <alignment horizontal="center" vertical="center"/>
      <protection hidden="1"/>
    </xf>
    <xf numFmtId="167" fontId="43" fillId="0" borderId="1" xfId="0" applyNumberFormat="1" applyFont="1" applyFill="1" applyBorder="1" applyAlignment="1" applyProtection="1">
      <alignment horizontal="center" vertical="center"/>
      <protection hidden="1"/>
    </xf>
    <xf numFmtId="168" fontId="43" fillId="0" borderId="15" xfId="0" applyNumberFormat="1" applyFont="1" applyFill="1" applyBorder="1" applyAlignment="1" applyProtection="1">
      <alignment horizontal="center" vertical="center"/>
      <protection hidden="1"/>
    </xf>
    <xf numFmtId="166" fontId="43" fillId="0" borderId="16" xfId="0" applyNumberFormat="1" applyFont="1" applyFill="1" applyBorder="1" applyAlignment="1" applyProtection="1">
      <alignment horizontal="center" vertical="center"/>
      <protection hidden="1"/>
    </xf>
    <xf numFmtId="165" fontId="43" fillId="0" borderId="15" xfId="0" applyNumberFormat="1" applyFont="1" applyFill="1" applyBorder="1" applyAlignment="1" applyProtection="1">
      <alignment horizontal="right" vertical="center"/>
      <protection hidden="1"/>
    </xf>
    <xf numFmtId="165" fontId="43" fillId="0" borderId="22" xfId="0" applyNumberFormat="1" applyFont="1" applyFill="1" applyBorder="1" applyAlignment="1" applyProtection="1">
      <alignment horizontal="right" vertical="center"/>
      <protection hidden="1"/>
    </xf>
    <xf numFmtId="171" fontId="43" fillId="0" borderId="28" xfId="0" applyNumberFormat="1" applyFont="1" applyFill="1" applyBorder="1" applyAlignment="1" applyProtection="1">
      <alignment horizontal="left" vertical="center" wrapText="1"/>
      <protection hidden="1"/>
    </xf>
    <xf numFmtId="171" fontId="43" fillId="0" borderId="27" xfId="0" applyNumberFormat="1" applyFont="1" applyFill="1" applyBorder="1" applyAlignment="1" applyProtection="1">
      <alignment horizontal="left" vertical="center" wrapText="1"/>
      <protection hidden="1"/>
    </xf>
    <xf numFmtId="168" fontId="43" fillId="0" borderId="13" xfId="0" applyNumberFormat="1" applyFont="1" applyFill="1" applyBorder="1" applyAlignment="1" applyProtection="1">
      <alignment horizontal="center" vertical="center"/>
      <protection hidden="1"/>
    </xf>
    <xf numFmtId="1" fontId="43" fillId="0" borderId="13" xfId="0" applyNumberFormat="1" applyFont="1" applyFill="1" applyBorder="1" applyAlignment="1" applyProtection="1">
      <alignment horizontal="center" vertical="center"/>
      <protection hidden="1"/>
    </xf>
    <xf numFmtId="167" fontId="43" fillId="0" borderId="13" xfId="0" applyNumberFormat="1" applyFont="1" applyFill="1" applyBorder="1" applyAlignment="1" applyProtection="1">
      <alignment horizontal="center" vertical="center"/>
      <protection hidden="1"/>
    </xf>
    <xf numFmtId="168" fontId="43" fillId="0" borderId="12" xfId="0" applyNumberFormat="1" applyFont="1" applyFill="1" applyBorder="1" applyAlignment="1" applyProtection="1">
      <alignment horizontal="center" vertical="center"/>
      <protection hidden="1"/>
    </xf>
    <xf numFmtId="166" fontId="43" fillId="0" borderId="14" xfId="0" applyNumberFormat="1" applyFont="1" applyFill="1" applyBorder="1" applyAlignment="1" applyProtection="1">
      <alignment horizontal="center" vertical="center"/>
      <protection hidden="1"/>
    </xf>
    <xf numFmtId="165" fontId="43" fillId="0" borderId="12" xfId="0" applyNumberFormat="1" applyFont="1" applyFill="1" applyBorder="1" applyAlignment="1" applyProtection="1">
      <alignment horizontal="right" vertical="center"/>
      <protection hidden="1"/>
    </xf>
    <xf numFmtId="165" fontId="43" fillId="0" borderId="23" xfId="0" applyNumberFormat="1" applyFont="1" applyFill="1" applyBorder="1" applyAlignment="1" applyProtection="1">
      <alignment horizontal="right" vertical="center"/>
      <protection hidden="1"/>
    </xf>
    <xf numFmtId="169" fontId="48" fillId="0" borderId="32" xfId="0" applyNumberFormat="1" applyFont="1" applyFill="1" applyBorder="1" applyAlignment="1" applyProtection="1">
      <alignment horizontal="left" vertical="center" wrapText="1"/>
      <protection hidden="1"/>
    </xf>
    <xf numFmtId="168" fontId="48" fillId="0" borderId="0" xfId="0" applyNumberFormat="1" applyFont="1" applyFill="1" applyAlignment="1" applyProtection="1">
      <alignment horizontal="center" vertical="center"/>
      <protection hidden="1"/>
    </xf>
    <xf numFmtId="1" fontId="48" fillId="0" borderId="0" xfId="0" applyNumberFormat="1" applyFont="1" applyFill="1" applyAlignment="1" applyProtection="1">
      <alignment horizontal="center" vertical="center"/>
      <protection hidden="1"/>
    </xf>
    <xf numFmtId="167" fontId="48" fillId="0" borderId="0" xfId="0" applyNumberFormat="1" applyFont="1" applyFill="1" applyAlignment="1" applyProtection="1">
      <alignment horizontal="center" vertical="center"/>
      <protection hidden="1"/>
    </xf>
    <xf numFmtId="168" fontId="48" fillId="0" borderId="9" xfId="0" applyNumberFormat="1" applyFont="1" applyFill="1" applyBorder="1" applyAlignment="1" applyProtection="1">
      <alignment horizontal="center" vertical="center"/>
      <protection hidden="1"/>
    </xf>
    <xf numFmtId="166" fontId="48" fillId="0" borderId="8" xfId="0" applyNumberFormat="1" applyFont="1" applyFill="1" applyBorder="1" applyAlignment="1" applyProtection="1">
      <alignment horizontal="center" vertical="center"/>
      <protection hidden="1"/>
    </xf>
    <xf numFmtId="165" fontId="48" fillId="0" borderId="9" xfId="0" applyNumberFormat="1" applyFont="1" applyFill="1" applyBorder="1" applyAlignment="1" applyProtection="1">
      <alignment horizontal="right" vertical="center"/>
      <protection hidden="1"/>
    </xf>
    <xf numFmtId="165" fontId="48" fillId="0" borderId="7" xfId="0" applyNumberFormat="1" applyFont="1" applyFill="1" applyBorder="1" applyAlignment="1" applyProtection="1">
      <alignment horizontal="right" vertical="center"/>
      <protection hidden="1"/>
    </xf>
    <xf numFmtId="169" fontId="49" fillId="0" borderId="28" xfId="0" applyNumberFormat="1" applyFont="1" applyFill="1" applyBorder="1" applyAlignment="1" applyProtection="1">
      <alignment horizontal="left" vertical="center" wrapText="1"/>
      <protection hidden="1"/>
    </xf>
    <xf numFmtId="168" fontId="49" fillId="0" borderId="1" xfId="0" applyNumberFormat="1" applyFont="1" applyFill="1" applyBorder="1" applyAlignment="1" applyProtection="1">
      <alignment horizontal="center" vertical="center"/>
      <protection hidden="1"/>
    </xf>
    <xf numFmtId="1" fontId="49" fillId="0" borderId="1" xfId="0" applyNumberFormat="1" applyFont="1" applyFill="1" applyBorder="1" applyAlignment="1" applyProtection="1">
      <alignment horizontal="center" vertical="center"/>
      <protection hidden="1"/>
    </xf>
    <xf numFmtId="167" fontId="49" fillId="0" borderId="1" xfId="0" applyNumberFormat="1" applyFont="1" applyFill="1" applyBorder="1" applyAlignment="1" applyProtection="1">
      <alignment horizontal="center" vertical="center"/>
      <protection hidden="1"/>
    </xf>
    <xf numFmtId="168" fontId="49" fillId="0" borderId="15" xfId="0" applyNumberFormat="1" applyFont="1" applyFill="1" applyBorder="1" applyAlignment="1" applyProtection="1">
      <alignment horizontal="center" vertical="center"/>
      <protection hidden="1"/>
    </xf>
    <xf numFmtId="166" fontId="49" fillId="0" borderId="16" xfId="0" applyNumberFormat="1" applyFont="1" applyFill="1" applyBorder="1" applyAlignment="1" applyProtection="1">
      <alignment horizontal="center" vertical="center"/>
      <protection hidden="1"/>
    </xf>
    <xf numFmtId="165" fontId="49" fillId="0" borderId="15" xfId="0" applyNumberFormat="1" applyFont="1" applyFill="1" applyBorder="1" applyAlignment="1" applyProtection="1">
      <alignment horizontal="right" vertical="center"/>
      <protection hidden="1"/>
    </xf>
    <xf numFmtId="165" fontId="49" fillId="0" borderId="22" xfId="0" applyNumberFormat="1" applyFont="1" applyFill="1" applyBorder="1" applyAlignment="1" applyProtection="1">
      <alignment horizontal="right" vertical="center"/>
      <protection hidden="1"/>
    </xf>
    <xf numFmtId="169" fontId="43" fillId="0" borderId="32" xfId="0" applyNumberFormat="1" applyFont="1" applyFill="1" applyBorder="1" applyAlignment="1" applyProtection="1">
      <alignment horizontal="left" vertical="center" wrapText="1"/>
      <protection hidden="1"/>
    </xf>
    <xf numFmtId="168" fontId="43" fillId="0" borderId="0" xfId="0" applyNumberFormat="1" applyFont="1" applyFill="1" applyAlignment="1" applyProtection="1">
      <alignment horizontal="center" vertical="center"/>
      <protection hidden="1"/>
    </xf>
    <xf numFmtId="1" fontId="43" fillId="0" borderId="0" xfId="0" applyNumberFormat="1" applyFont="1" applyFill="1" applyAlignment="1" applyProtection="1">
      <alignment horizontal="center" vertical="center"/>
      <protection hidden="1"/>
    </xf>
    <xf numFmtId="167" fontId="43" fillId="0" borderId="0" xfId="0" applyNumberFormat="1" applyFont="1" applyFill="1" applyAlignment="1" applyProtection="1">
      <alignment horizontal="center" vertical="center"/>
      <protection hidden="1"/>
    </xf>
    <xf numFmtId="168" fontId="43" fillId="0" borderId="9" xfId="0" applyNumberFormat="1" applyFont="1" applyFill="1" applyBorder="1" applyAlignment="1" applyProtection="1">
      <alignment horizontal="center" vertical="center"/>
      <protection hidden="1"/>
    </xf>
    <xf numFmtId="166" fontId="43" fillId="0" borderId="8" xfId="0" applyNumberFormat="1" applyFont="1" applyFill="1" applyBorder="1" applyAlignment="1" applyProtection="1">
      <alignment horizontal="center" vertical="center"/>
      <protection hidden="1"/>
    </xf>
    <xf numFmtId="165" fontId="43" fillId="0" borderId="9" xfId="0" applyNumberFormat="1" applyFont="1" applyFill="1" applyBorder="1" applyAlignment="1" applyProtection="1">
      <alignment horizontal="right" vertical="center"/>
      <protection hidden="1"/>
    </xf>
    <xf numFmtId="165" fontId="43" fillId="0" borderId="7" xfId="0" applyNumberFormat="1" applyFont="1" applyFill="1" applyBorder="1" applyAlignment="1" applyProtection="1">
      <alignment horizontal="right" vertical="center"/>
      <protection hidden="1"/>
    </xf>
    <xf numFmtId="171" fontId="43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44" fillId="0" borderId="0" xfId="0" applyNumberFormat="1" applyFont="1" applyFill="1" applyAlignment="1" applyProtection="1">
      <protection hidden="1"/>
    </xf>
    <xf numFmtId="0" fontId="48" fillId="0" borderId="5" xfId="0" applyNumberFormat="1" applyFont="1" applyFill="1" applyBorder="1" applyAlignment="1" applyProtection="1">
      <protection hidden="1"/>
    </xf>
    <xf numFmtId="0" fontId="48" fillId="0" borderId="4" xfId="0" applyNumberFormat="1" applyFont="1" applyFill="1" applyBorder="1" applyAlignment="1" applyProtection="1">
      <protection hidden="1"/>
    </xf>
    <xf numFmtId="165" fontId="48" fillId="0" borderId="41" xfId="0" applyNumberFormat="1" applyFont="1" applyFill="1" applyBorder="1" applyAlignment="1" applyProtection="1">
      <protection hidden="1"/>
    </xf>
    <xf numFmtId="165" fontId="48" fillId="0" borderId="2" xfId="0" applyNumberFormat="1" applyFont="1" applyFill="1" applyBorder="1" applyAlignment="1" applyProtection="1">
      <protection hidden="1"/>
    </xf>
    <xf numFmtId="165" fontId="48" fillId="0" borderId="42" xfId="0" applyNumberFormat="1" applyFont="1" applyFill="1" applyBorder="1" applyAlignment="1" applyProtection="1">
      <protection hidden="1"/>
    </xf>
    <xf numFmtId="0" fontId="46" fillId="0" borderId="0" xfId="0" applyNumberFormat="1" applyFont="1" applyFill="1" applyAlignment="1" applyProtection="1">
      <alignment horizontal="left"/>
      <protection hidden="1"/>
    </xf>
    <xf numFmtId="0" fontId="44" fillId="0" borderId="0" xfId="0" applyNumberFormat="1" applyFont="1" applyFill="1" applyAlignment="1" applyProtection="1">
      <alignment horizontal="right" vertical="center"/>
      <protection hidden="1"/>
    </xf>
    <xf numFmtId="0" fontId="46" fillId="0" borderId="20" xfId="0" applyNumberFormat="1" applyFont="1" applyFill="1" applyBorder="1" applyAlignment="1" applyProtection="1">
      <alignment horizontal="center" vertical="center" wrapText="1"/>
      <protection hidden="1"/>
    </xf>
    <xf numFmtId="170" fontId="48" fillId="0" borderId="16" xfId="0" applyNumberFormat="1" applyFont="1" applyFill="1" applyBorder="1" applyAlignment="1" applyProtection="1">
      <alignment horizontal="left" vertical="center" wrapText="1"/>
      <protection hidden="1"/>
    </xf>
    <xf numFmtId="168" fontId="48" fillId="0" borderId="16" xfId="0" applyNumberFormat="1" applyFont="1" applyFill="1" applyBorder="1" applyAlignment="1" applyProtection="1">
      <alignment horizontal="center" vertical="center"/>
      <protection hidden="1"/>
    </xf>
    <xf numFmtId="170" fontId="43" fillId="0" borderId="16" xfId="0" applyNumberFormat="1" applyFont="1" applyFill="1" applyBorder="1" applyAlignment="1" applyProtection="1">
      <alignment horizontal="left" vertical="center" wrapText="1"/>
      <protection hidden="1"/>
    </xf>
    <xf numFmtId="168" fontId="43" fillId="0" borderId="16" xfId="0" applyNumberFormat="1" applyFont="1" applyFill="1" applyBorder="1" applyAlignment="1" applyProtection="1">
      <alignment horizontal="center" vertical="center"/>
      <protection hidden="1"/>
    </xf>
    <xf numFmtId="170" fontId="43" fillId="0" borderId="14" xfId="0" applyNumberFormat="1" applyFont="1" applyFill="1" applyBorder="1" applyAlignment="1" applyProtection="1">
      <alignment horizontal="left" vertical="center" wrapText="1"/>
      <protection hidden="1"/>
    </xf>
    <xf numFmtId="168" fontId="43" fillId="0" borderId="14" xfId="0" applyNumberFormat="1" applyFont="1" applyFill="1" applyBorder="1" applyAlignment="1" applyProtection="1">
      <alignment horizontal="center" vertical="center"/>
      <protection hidden="1"/>
    </xf>
    <xf numFmtId="170" fontId="48" fillId="0" borderId="8" xfId="0" applyNumberFormat="1" applyFont="1" applyFill="1" applyBorder="1" applyAlignment="1" applyProtection="1">
      <alignment horizontal="left" vertical="center" wrapText="1"/>
      <protection hidden="1"/>
    </xf>
    <xf numFmtId="168" fontId="48" fillId="0" borderId="8" xfId="0" applyNumberFormat="1" applyFont="1" applyFill="1" applyBorder="1" applyAlignment="1" applyProtection="1">
      <alignment horizontal="center" vertical="center"/>
      <protection hidden="1"/>
    </xf>
    <xf numFmtId="0" fontId="50" fillId="0" borderId="24" xfId="0" applyNumberFormat="1" applyFont="1" applyFill="1" applyBorder="1" applyAlignment="1" applyProtection="1">
      <protection hidden="1"/>
    </xf>
    <xf numFmtId="0" fontId="50" fillId="0" borderId="25" xfId="0" applyNumberFormat="1" applyFont="1" applyFill="1" applyBorder="1" applyAlignment="1" applyProtection="1">
      <protection hidden="1"/>
    </xf>
    <xf numFmtId="165" fontId="50" fillId="0" borderId="26" xfId="0" applyNumberFormat="1" applyFont="1" applyFill="1" applyBorder="1" applyAlignment="1" applyProtection="1">
      <protection hidden="1"/>
    </xf>
    <xf numFmtId="173" fontId="48" fillId="0" borderId="15" xfId="0" applyNumberFormat="1" applyFont="1" applyFill="1" applyBorder="1" applyAlignment="1" applyProtection="1">
      <alignment horizontal="right" vertical="center"/>
      <protection hidden="1"/>
    </xf>
    <xf numFmtId="165" fontId="7" fillId="0" borderId="14" xfId="0" applyNumberFormat="1" applyFont="1" applyFill="1" applyBorder="1" applyAlignment="1" applyProtection="1">
      <alignment horizontal="right" vertical="center"/>
      <protection hidden="1"/>
    </xf>
    <xf numFmtId="165" fontId="9" fillId="0" borderId="29" xfId="0" applyNumberFormat="1" applyFont="1" applyFill="1" applyBorder="1" applyAlignment="1" applyProtection="1">
      <alignment horizontal="right" vertical="center"/>
      <protection hidden="1"/>
    </xf>
    <xf numFmtId="165" fontId="9" fillId="0" borderId="14" xfId="0" applyNumberFormat="1" applyFont="1" applyFill="1" applyBorder="1" applyAlignment="1" applyProtection="1">
      <alignment horizontal="right" vertical="center"/>
      <protection hidden="1"/>
    </xf>
    <xf numFmtId="165" fontId="8" fillId="0" borderId="14" xfId="0" applyNumberFormat="1" applyFont="1" applyFill="1" applyBorder="1" applyAlignment="1" applyProtection="1">
      <alignment horizontal="right" vertical="center"/>
      <protection hidden="1"/>
    </xf>
    <xf numFmtId="165" fontId="9" fillId="0" borderId="23" xfId="0" applyNumberFormat="1" applyFont="1" applyFill="1" applyBorder="1" applyAlignment="1" applyProtection="1">
      <alignment horizontal="right" vertical="center"/>
      <protection hidden="1"/>
    </xf>
    <xf numFmtId="165" fontId="9" fillId="0" borderId="34" xfId="0" applyNumberFormat="1" applyFont="1" applyFill="1" applyBorder="1" applyAlignment="1" applyProtection="1">
      <alignment horizontal="right" vertical="center"/>
      <protection hidden="1"/>
    </xf>
    <xf numFmtId="165" fontId="43" fillId="0" borderId="14" xfId="0" applyNumberFormat="1" applyFont="1" applyFill="1" applyBorder="1" applyAlignment="1" applyProtection="1">
      <alignment horizontal="right" vertical="center"/>
      <protection hidden="1"/>
    </xf>
    <xf numFmtId="165" fontId="48" fillId="0" borderId="14" xfId="0" applyNumberFormat="1" applyFont="1" applyFill="1" applyBorder="1" applyAlignment="1" applyProtection="1">
      <alignment horizontal="right" vertical="center"/>
      <protection hidden="1"/>
    </xf>
    <xf numFmtId="165" fontId="43" fillId="0" borderId="29" xfId="0" applyNumberFormat="1" applyFont="1" applyFill="1" applyBorder="1" applyAlignment="1" applyProtection="1">
      <alignment horizontal="right" vertical="center"/>
      <protection hidden="1"/>
    </xf>
    <xf numFmtId="0" fontId="23" fillId="0" borderId="2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justify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0" xfId="22" applyFont="1" applyFill="1" applyAlignment="1" applyProtection="1">
      <alignment horizontal="center"/>
    </xf>
    <xf numFmtId="0" fontId="6" fillId="0" borderId="0" xfId="22" applyFont="1" applyFill="1" applyAlignment="1" applyProtection="1">
      <alignment horizontal="center" wrapText="1"/>
    </xf>
    <xf numFmtId="0" fontId="7" fillId="0" borderId="0" xfId="2" applyFont="1" applyAlignment="1">
      <alignment horizont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6" fillId="0" borderId="0" xfId="22" applyFont="1" applyFill="1" applyAlignment="1" applyProtection="1">
      <alignment horizontal="center" vertical="center"/>
      <protection locked="0"/>
    </xf>
    <xf numFmtId="0" fontId="6" fillId="0" borderId="0" xfId="22" applyFont="1" applyFill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4" applyFont="1" applyFill="1" applyAlignment="1" applyProtection="1">
      <alignment horizontal="center" wrapText="1"/>
    </xf>
    <xf numFmtId="0" fontId="6" fillId="0" borderId="0" xfId="24" applyFont="1" applyFill="1" applyAlignment="1" applyProtection="1">
      <alignment horizontal="center" vertical="center"/>
      <protection locked="0"/>
    </xf>
    <xf numFmtId="0" fontId="6" fillId="0" borderId="0" xfId="24" applyFont="1" applyFill="1" applyAlignment="1" applyProtection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30" xfId="2" applyFont="1" applyBorder="1" applyAlignment="1">
      <alignment horizontal="right"/>
    </xf>
    <xf numFmtId="0" fontId="7" fillId="0" borderId="14" xfId="2" applyFont="1" applyBorder="1" applyAlignment="1">
      <alignment horizontal="center" vertical="center" wrapText="1"/>
    </xf>
    <xf numFmtId="0" fontId="6" fillId="0" borderId="0" xfId="22" applyFont="1" applyFill="1" applyAlignment="1" applyProtection="1">
      <alignment horizontal="left"/>
    </xf>
    <xf numFmtId="0" fontId="6" fillId="0" borderId="0" xfId="22" applyFont="1" applyFill="1" applyAlignment="1" applyProtection="1">
      <alignment horizontal="left" wrapText="1"/>
    </xf>
    <xf numFmtId="0" fontId="7" fillId="0" borderId="0" xfId="2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top" wrapText="1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13" fillId="0" borderId="0" xfId="2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vertical="top" wrapText="1"/>
      <protection hidden="1"/>
    </xf>
    <xf numFmtId="0" fontId="10" fillId="0" borderId="0" xfId="0" applyNumberFormat="1" applyFont="1" applyFill="1" applyAlignment="1" applyProtection="1">
      <alignment horizontal="center" vertical="center" wrapText="1"/>
      <protection hidden="1"/>
    </xf>
  </cellXfs>
  <cellStyles count="27">
    <cellStyle name="Гиперссылка" xfId="26" builtinId="8"/>
    <cellStyle name="Обычный" xfId="0" builtinId="0"/>
    <cellStyle name="Обычный 2" xfId="1"/>
    <cellStyle name="Обычный 2 10" xfId="4"/>
    <cellStyle name="Обычный 2 11" xfId="5"/>
    <cellStyle name="Обычный 2 12" xfId="6"/>
    <cellStyle name="Обычный 2 13" xfId="7"/>
    <cellStyle name="Обычный 2 14" xfId="8"/>
    <cellStyle name="Обычный 2 15" xfId="9"/>
    <cellStyle name="Обычный 2 2" xfId="10"/>
    <cellStyle name="Обычный 2 2 2" xfId="11"/>
    <cellStyle name="Обычный 2 2 3" xfId="12"/>
    <cellStyle name="Обычный 2 3" xfId="13"/>
    <cellStyle name="Обычный 2 4" xfId="14"/>
    <cellStyle name="Обычный 2 5" xfId="15"/>
    <cellStyle name="Обычный 2 6" xfId="16"/>
    <cellStyle name="Обычный 2 7" xfId="17"/>
    <cellStyle name="Обычный 2 8" xfId="18"/>
    <cellStyle name="Обычный 2 9" xfId="19"/>
    <cellStyle name="Обычный 3" xfId="2"/>
    <cellStyle name="Обычный 3 2" xfId="20"/>
    <cellStyle name="Обычный 3 3" xfId="21"/>
    <cellStyle name="Обычный 8" xfId="22"/>
    <cellStyle name="Обычный 8 2" xfId="24"/>
    <cellStyle name="Финансовый 2" xfId="3"/>
    <cellStyle name="Финансовый 4" xfId="23"/>
    <cellStyle name="Финансовый 4 2" xfId="25"/>
  </cellStyles>
  <dxfs count="0"/>
  <tableStyles count="0" defaultTableStyle="TableStyleMedium9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0;&#1044;&#1046;&#1045;&#1058;%202021%20&#1089;&#1077;&#1083;&#1100;&#1089;&#1086;&#1074;&#1077;&#1090;&#1072;&#1084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дминистраторы дох."/>
      <sheetName val="нарматив дох"/>
      <sheetName val="доходы1"/>
      <sheetName val="источники"/>
      <sheetName val="ведомств"/>
      <sheetName val="РЗ,ПР"/>
      <sheetName val="РзПр большая"/>
      <sheetName val="МБТ в сельсовет"/>
      <sheetName val="Прог_Непр"/>
      <sheetName val="инвестиции"/>
      <sheetName val="МБТ из сельсовета"/>
      <sheetName val="публичные нормативные обязатель"/>
      <sheetName val="приоритетные проекты"/>
      <sheetName val="прогр замств"/>
      <sheetName val="муниц гарант"/>
      <sheetName val="минимальный бюджет"/>
      <sheetName val="Методики МБТ"/>
    </sheetNames>
    <sheetDataSet>
      <sheetData sheetId="0" refreshError="1"/>
      <sheetData sheetId="1" refreshError="1"/>
      <sheetData sheetId="2">
        <row r="97">
          <cell r="D97">
            <v>113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enstat.gks.ru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view="pageBreakPreview" zoomScaleSheetLayoutView="100" workbookViewId="0">
      <selection activeCell="B11" sqref="B11"/>
    </sheetView>
  </sheetViews>
  <sheetFormatPr defaultRowHeight="12.75" x14ac:dyDescent="0.2"/>
  <cols>
    <col min="1" max="1" width="25" style="58" customWidth="1"/>
    <col min="2" max="2" width="59.28515625" style="1" customWidth="1"/>
    <col min="3" max="3" width="16.5703125" style="1" customWidth="1"/>
    <col min="4" max="4" width="5.42578125" style="1" customWidth="1"/>
    <col min="5" max="256" width="9.140625" style="1"/>
    <col min="257" max="257" width="25" style="1" customWidth="1"/>
    <col min="258" max="258" width="59.28515625" style="1" customWidth="1"/>
    <col min="259" max="259" width="16.5703125" style="1" customWidth="1"/>
    <col min="260" max="260" width="5.42578125" style="1" customWidth="1"/>
    <col min="261" max="512" width="9.140625" style="1"/>
    <col min="513" max="513" width="25" style="1" customWidth="1"/>
    <col min="514" max="514" width="59.28515625" style="1" customWidth="1"/>
    <col min="515" max="515" width="16.5703125" style="1" customWidth="1"/>
    <col min="516" max="516" width="5.42578125" style="1" customWidth="1"/>
    <col min="517" max="768" width="9.140625" style="1"/>
    <col min="769" max="769" width="25" style="1" customWidth="1"/>
    <col min="770" max="770" width="59.28515625" style="1" customWidth="1"/>
    <col min="771" max="771" width="16.5703125" style="1" customWidth="1"/>
    <col min="772" max="772" width="5.42578125" style="1" customWidth="1"/>
    <col min="773" max="1024" width="9.140625" style="1"/>
    <col min="1025" max="1025" width="25" style="1" customWidth="1"/>
    <col min="1026" max="1026" width="59.28515625" style="1" customWidth="1"/>
    <col min="1027" max="1027" width="16.5703125" style="1" customWidth="1"/>
    <col min="1028" max="1028" width="5.42578125" style="1" customWidth="1"/>
    <col min="1029" max="1280" width="9.140625" style="1"/>
    <col min="1281" max="1281" width="25" style="1" customWidth="1"/>
    <col min="1282" max="1282" width="59.28515625" style="1" customWidth="1"/>
    <col min="1283" max="1283" width="16.5703125" style="1" customWidth="1"/>
    <col min="1284" max="1284" width="5.42578125" style="1" customWidth="1"/>
    <col min="1285" max="1536" width="9.140625" style="1"/>
    <col min="1537" max="1537" width="25" style="1" customWidth="1"/>
    <col min="1538" max="1538" width="59.28515625" style="1" customWidth="1"/>
    <col min="1539" max="1539" width="16.5703125" style="1" customWidth="1"/>
    <col min="1540" max="1540" width="5.42578125" style="1" customWidth="1"/>
    <col min="1541" max="1792" width="9.140625" style="1"/>
    <col min="1793" max="1793" width="25" style="1" customWidth="1"/>
    <col min="1794" max="1794" width="59.28515625" style="1" customWidth="1"/>
    <col min="1795" max="1795" width="16.5703125" style="1" customWidth="1"/>
    <col min="1796" max="1796" width="5.42578125" style="1" customWidth="1"/>
    <col min="1797" max="2048" width="9.140625" style="1"/>
    <col min="2049" max="2049" width="25" style="1" customWidth="1"/>
    <col min="2050" max="2050" width="59.28515625" style="1" customWidth="1"/>
    <col min="2051" max="2051" width="16.5703125" style="1" customWidth="1"/>
    <col min="2052" max="2052" width="5.42578125" style="1" customWidth="1"/>
    <col min="2053" max="2304" width="9.140625" style="1"/>
    <col min="2305" max="2305" width="25" style="1" customWidth="1"/>
    <col min="2306" max="2306" width="59.28515625" style="1" customWidth="1"/>
    <col min="2307" max="2307" width="16.5703125" style="1" customWidth="1"/>
    <col min="2308" max="2308" width="5.42578125" style="1" customWidth="1"/>
    <col min="2309" max="2560" width="9.140625" style="1"/>
    <col min="2561" max="2561" width="25" style="1" customWidth="1"/>
    <col min="2562" max="2562" width="59.28515625" style="1" customWidth="1"/>
    <col min="2563" max="2563" width="16.5703125" style="1" customWidth="1"/>
    <col min="2564" max="2564" width="5.42578125" style="1" customWidth="1"/>
    <col min="2565" max="2816" width="9.140625" style="1"/>
    <col min="2817" max="2817" width="25" style="1" customWidth="1"/>
    <col min="2818" max="2818" width="59.28515625" style="1" customWidth="1"/>
    <col min="2819" max="2819" width="16.5703125" style="1" customWidth="1"/>
    <col min="2820" max="2820" width="5.42578125" style="1" customWidth="1"/>
    <col min="2821" max="3072" width="9.140625" style="1"/>
    <col min="3073" max="3073" width="25" style="1" customWidth="1"/>
    <col min="3074" max="3074" width="59.28515625" style="1" customWidth="1"/>
    <col min="3075" max="3075" width="16.5703125" style="1" customWidth="1"/>
    <col min="3076" max="3076" width="5.42578125" style="1" customWidth="1"/>
    <col min="3077" max="3328" width="9.140625" style="1"/>
    <col min="3329" max="3329" width="25" style="1" customWidth="1"/>
    <col min="3330" max="3330" width="59.28515625" style="1" customWidth="1"/>
    <col min="3331" max="3331" width="16.5703125" style="1" customWidth="1"/>
    <col min="3332" max="3332" width="5.42578125" style="1" customWidth="1"/>
    <col min="3333" max="3584" width="9.140625" style="1"/>
    <col min="3585" max="3585" width="25" style="1" customWidth="1"/>
    <col min="3586" max="3586" width="59.28515625" style="1" customWidth="1"/>
    <col min="3587" max="3587" width="16.5703125" style="1" customWidth="1"/>
    <col min="3588" max="3588" width="5.42578125" style="1" customWidth="1"/>
    <col min="3589" max="3840" width="9.140625" style="1"/>
    <col min="3841" max="3841" width="25" style="1" customWidth="1"/>
    <col min="3842" max="3842" width="59.28515625" style="1" customWidth="1"/>
    <col min="3843" max="3843" width="16.5703125" style="1" customWidth="1"/>
    <col min="3844" max="3844" width="5.42578125" style="1" customWidth="1"/>
    <col min="3845" max="4096" width="9.140625" style="1"/>
    <col min="4097" max="4097" width="25" style="1" customWidth="1"/>
    <col min="4098" max="4098" width="59.28515625" style="1" customWidth="1"/>
    <col min="4099" max="4099" width="16.5703125" style="1" customWidth="1"/>
    <col min="4100" max="4100" width="5.42578125" style="1" customWidth="1"/>
    <col min="4101" max="4352" width="9.140625" style="1"/>
    <col min="4353" max="4353" width="25" style="1" customWidth="1"/>
    <col min="4354" max="4354" width="59.28515625" style="1" customWidth="1"/>
    <col min="4355" max="4355" width="16.5703125" style="1" customWidth="1"/>
    <col min="4356" max="4356" width="5.42578125" style="1" customWidth="1"/>
    <col min="4357" max="4608" width="9.140625" style="1"/>
    <col min="4609" max="4609" width="25" style="1" customWidth="1"/>
    <col min="4610" max="4610" width="59.28515625" style="1" customWidth="1"/>
    <col min="4611" max="4611" width="16.5703125" style="1" customWidth="1"/>
    <col min="4612" max="4612" width="5.42578125" style="1" customWidth="1"/>
    <col min="4613" max="4864" width="9.140625" style="1"/>
    <col min="4865" max="4865" width="25" style="1" customWidth="1"/>
    <col min="4866" max="4866" width="59.28515625" style="1" customWidth="1"/>
    <col min="4867" max="4867" width="16.5703125" style="1" customWidth="1"/>
    <col min="4868" max="4868" width="5.42578125" style="1" customWidth="1"/>
    <col min="4869" max="5120" width="9.140625" style="1"/>
    <col min="5121" max="5121" width="25" style="1" customWidth="1"/>
    <col min="5122" max="5122" width="59.28515625" style="1" customWidth="1"/>
    <col min="5123" max="5123" width="16.5703125" style="1" customWidth="1"/>
    <col min="5124" max="5124" width="5.42578125" style="1" customWidth="1"/>
    <col min="5125" max="5376" width="9.140625" style="1"/>
    <col min="5377" max="5377" width="25" style="1" customWidth="1"/>
    <col min="5378" max="5378" width="59.28515625" style="1" customWidth="1"/>
    <col min="5379" max="5379" width="16.5703125" style="1" customWidth="1"/>
    <col min="5380" max="5380" width="5.42578125" style="1" customWidth="1"/>
    <col min="5381" max="5632" width="9.140625" style="1"/>
    <col min="5633" max="5633" width="25" style="1" customWidth="1"/>
    <col min="5634" max="5634" width="59.28515625" style="1" customWidth="1"/>
    <col min="5635" max="5635" width="16.5703125" style="1" customWidth="1"/>
    <col min="5636" max="5636" width="5.42578125" style="1" customWidth="1"/>
    <col min="5637" max="5888" width="9.140625" style="1"/>
    <col min="5889" max="5889" width="25" style="1" customWidth="1"/>
    <col min="5890" max="5890" width="59.28515625" style="1" customWidth="1"/>
    <col min="5891" max="5891" width="16.5703125" style="1" customWidth="1"/>
    <col min="5892" max="5892" width="5.42578125" style="1" customWidth="1"/>
    <col min="5893" max="6144" width="9.140625" style="1"/>
    <col min="6145" max="6145" width="25" style="1" customWidth="1"/>
    <col min="6146" max="6146" width="59.28515625" style="1" customWidth="1"/>
    <col min="6147" max="6147" width="16.5703125" style="1" customWidth="1"/>
    <col min="6148" max="6148" width="5.42578125" style="1" customWidth="1"/>
    <col min="6149" max="6400" width="9.140625" style="1"/>
    <col min="6401" max="6401" width="25" style="1" customWidth="1"/>
    <col min="6402" max="6402" width="59.28515625" style="1" customWidth="1"/>
    <col min="6403" max="6403" width="16.5703125" style="1" customWidth="1"/>
    <col min="6404" max="6404" width="5.42578125" style="1" customWidth="1"/>
    <col min="6405" max="6656" width="9.140625" style="1"/>
    <col min="6657" max="6657" width="25" style="1" customWidth="1"/>
    <col min="6658" max="6658" width="59.28515625" style="1" customWidth="1"/>
    <col min="6659" max="6659" width="16.5703125" style="1" customWidth="1"/>
    <col min="6660" max="6660" width="5.42578125" style="1" customWidth="1"/>
    <col min="6661" max="6912" width="9.140625" style="1"/>
    <col min="6913" max="6913" width="25" style="1" customWidth="1"/>
    <col min="6914" max="6914" width="59.28515625" style="1" customWidth="1"/>
    <col min="6915" max="6915" width="16.5703125" style="1" customWidth="1"/>
    <col min="6916" max="6916" width="5.42578125" style="1" customWidth="1"/>
    <col min="6917" max="7168" width="9.140625" style="1"/>
    <col min="7169" max="7169" width="25" style="1" customWidth="1"/>
    <col min="7170" max="7170" width="59.28515625" style="1" customWidth="1"/>
    <col min="7171" max="7171" width="16.5703125" style="1" customWidth="1"/>
    <col min="7172" max="7172" width="5.42578125" style="1" customWidth="1"/>
    <col min="7173" max="7424" width="9.140625" style="1"/>
    <col min="7425" max="7425" width="25" style="1" customWidth="1"/>
    <col min="7426" max="7426" width="59.28515625" style="1" customWidth="1"/>
    <col min="7427" max="7427" width="16.5703125" style="1" customWidth="1"/>
    <col min="7428" max="7428" width="5.42578125" style="1" customWidth="1"/>
    <col min="7429" max="7680" width="9.140625" style="1"/>
    <col min="7681" max="7681" width="25" style="1" customWidth="1"/>
    <col min="7682" max="7682" width="59.28515625" style="1" customWidth="1"/>
    <col min="7683" max="7683" width="16.5703125" style="1" customWidth="1"/>
    <col min="7684" max="7684" width="5.42578125" style="1" customWidth="1"/>
    <col min="7685" max="7936" width="9.140625" style="1"/>
    <col min="7937" max="7937" width="25" style="1" customWidth="1"/>
    <col min="7938" max="7938" width="59.28515625" style="1" customWidth="1"/>
    <col min="7939" max="7939" width="16.5703125" style="1" customWidth="1"/>
    <col min="7940" max="7940" width="5.42578125" style="1" customWidth="1"/>
    <col min="7941" max="8192" width="9.140625" style="1"/>
    <col min="8193" max="8193" width="25" style="1" customWidth="1"/>
    <col min="8194" max="8194" width="59.28515625" style="1" customWidth="1"/>
    <col min="8195" max="8195" width="16.5703125" style="1" customWidth="1"/>
    <col min="8196" max="8196" width="5.42578125" style="1" customWidth="1"/>
    <col min="8197" max="8448" width="9.140625" style="1"/>
    <col min="8449" max="8449" width="25" style="1" customWidth="1"/>
    <col min="8450" max="8450" width="59.28515625" style="1" customWidth="1"/>
    <col min="8451" max="8451" width="16.5703125" style="1" customWidth="1"/>
    <col min="8452" max="8452" width="5.42578125" style="1" customWidth="1"/>
    <col min="8453" max="8704" width="9.140625" style="1"/>
    <col min="8705" max="8705" width="25" style="1" customWidth="1"/>
    <col min="8706" max="8706" width="59.28515625" style="1" customWidth="1"/>
    <col min="8707" max="8707" width="16.5703125" style="1" customWidth="1"/>
    <col min="8708" max="8708" width="5.42578125" style="1" customWidth="1"/>
    <col min="8709" max="8960" width="9.140625" style="1"/>
    <col min="8961" max="8961" width="25" style="1" customWidth="1"/>
    <col min="8962" max="8962" width="59.28515625" style="1" customWidth="1"/>
    <col min="8963" max="8963" width="16.5703125" style="1" customWidth="1"/>
    <col min="8964" max="8964" width="5.42578125" style="1" customWidth="1"/>
    <col min="8965" max="9216" width="9.140625" style="1"/>
    <col min="9217" max="9217" width="25" style="1" customWidth="1"/>
    <col min="9218" max="9218" width="59.28515625" style="1" customWidth="1"/>
    <col min="9219" max="9219" width="16.5703125" style="1" customWidth="1"/>
    <col min="9220" max="9220" width="5.42578125" style="1" customWidth="1"/>
    <col min="9221" max="9472" width="9.140625" style="1"/>
    <col min="9473" max="9473" width="25" style="1" customWidth="1"/>
    <col min="9474" max="9474" width="59.28515625" style="1" customWidth="1"/>
    <col min="9475" max="9475" width="16.5703125" style="1" customWidth="1"/>
    <col min="9476" max="9476" width="5.42578125" style="1" customWidth="1"/>
    <col min="9477" max="9728" width="9.140625" style="1"/>
    <col min="9729" max="9729" width="25" style="1" customWidth="1"/>
    <col min="9730" max="9730" width="59.28515625" style="1" customWidth="1"/>
    <col min="9731" max="9731" width="16.5703125" style="1" customWidth="1"/>
    <col min="9732" max="9732" width="5.42578125" style="1" customWidth="1"/>
    <col min="9733" max="9984" width="9.140625" style="1"/>
    <col min="9985" max="9985" width="25" style="1" customWidth="1"/>
    <col min="9986" max="9986" width="59.28515625" style="1" customWidth="1"/>
    <col min="9987" max="9987" width="16.5703125" style="1" customWidth="1"/>
    <col min="9988" max="9988" width="5.42578125" style="1" customWidth="1"/>
    <col min="9989" max="10240" width="9.140625" style="1"/>
    <col min="10241" max="10241" width="25" style="1" customWidth="1"/>
    <col min="10242" max="10242" width="59.28515625" style="1" customWidth="1"/>
    <col min="10243" max="10243" width="16.5703125" style="1" customWidth="1"/>
    <col min="10244" max="10244" width="5.42578125" style="1" customWidth="1"/>
    <col min="10245" max="10496" width="9.140625" style="1"/>
    <col min="10497" max="10497" width="25" style="1" customWidth="1"/>
    <col min="10498" max="10498" width="59.28515625" style="1" customWidth="1"/>
    <col min="10499" max="10499" width="16.5703125" style="1" customWidth="1"/>
    <col min="10500" max="10500" width="5.42578125" style="1" customWidth="1"/>
    <col min="10501" max="10752" width="9.140625" style="1"/>
    <col min="10753" max="10753" width="25" style="1" customWidth="1"/>
    <col min="10754" max="10754" width="59.28515625" style="1" customWidth="1"/>
    <col min="10755" max="10755" width="16.5703125" style="1" customWidth="1"/>
    <col min="10756" max="10756" width="5.42578125" style="1" customWidth="1"/>
    <col min="10757" max="11008" width="9.140625" style="1"/>
    <col min="11009" max="11009" width="25" style="1" customWidth="1"/>
    <col min="11010" max="11010" width="59.28515625" style="1" customWidth="1"/>
    <col min="11011" max="11011" width="16.5703125" style="1" customWidth="1"/>
    <col min="11012" max="11012" width="5.42578125" style="1" customWidth="1"/>
    <col min="11013" max="11264" width="9.140625" style="1"/>
    <col min="11265" max="11265" width="25" style="1" customWidth="1"/>
    <col min="11266" max="11266" width="59.28515625" style="1" customWidth="1"/>
    <col min="11267" max="11267" width="16.5703125" style="1" customWidth="1"/>
    <col min="11268" max="11268" width="5.42578125" style="1" customWidth="1"/>
    <col min="11269" max="11520" width="9.140625" style="1"/>
    <col min="11521" max="11521" width="25" style="1" customWidth="1"/>
    <col min="11522" max="11522" width="59.28515625" style="1" customWidth="1"/>
    <col min="11523" max="11523" width="16.5703125" style="1" customWidth="1"/>
    <col min="11524" max="11524" width="5.42578125" style="1" customWidth="1"/>
    <col min="11525" max="11776" width="9.140625" style="1"/>
    <col min="11777" max="11777" width="25" style="1" customWidth="1"/>
    <col min="11778" max="11778" width="59.28515625" style="1" customWidth="1"/>
    <col min="11779" max="11779" width="16.5703125" style="1" customWidth="1"/>
    <col min="11780" max="11780" width="5.42578125" style="1" customWidth="1"/>
    <col min="11781" max="12032" width="9.140625" style="1"/>
    <col min="12033" max="12033" width="25" style="1" customWidth="1"/>
    <col min="12034" max="12034" width="59.28515625" style="1" customWidth="1"/>
    <col min="12035" max="12035" width="16.5703125" style="1" customWidth="1"/>
    <col min="12036" max="12036" width="5.42578125" style="1" customWidth="1"/>
    <col min="12037" max="12288" width="9.140625" style="1"/>
    <col min="12289" max="12289" width="25" style="1" customWidth="1"/>
    <col min="12290" max="12290" width="59.28515625" style="1" customWidth="1"/>
    <col min="12291" max="12291" width="16.5703125" style="1" customWidth="1"/>
    <col min="12292" max="12292" width="5.42578125" style="1" customWidth="1"/>
    <col min="12293" max="12544" width="9.140625" style="1"/>
    <col min="12545" max="12545" width="25" style="1" customWidth="1"/>
    <col min="12546" max="12546" width="59.28515625" style="1" customWidth="1"/>
    <col min="12547" max="12547" width="16.5703125" style="1" customWidth="1"/>
    <col min="12548" max="12548" width="5.42578125" style="1" customWidth="1"/>
    <col min="12549" max="12800" width="9.140625" style="1"/>
    <col min="12801" max="12801" width="25" style="1" customWidth="1"/>
    <col min="12802" max="12802" width="59.28515625" style="1" customWidth="1"/>
    <col min="12803" max="12803" width="16.5703125" style="1" customWidth="1"/>
    <col min="12804" max="12804" width="5.42578125" style="1" customWidth="1"/>
    <col min="12805" max="13056" width="9.140625" style="1"/>
    <col min="13057" max="13057" width="25" style="1" customWidth="1"/>
    <col min="13058" max="13058" width="59.28515625" style="1" customWidth="1"/>
    <col min="13059" max="13059" width="16.5703125" style="1" customWidth="1"/>
    <col min="13060" max="13060" width="5.42578125" style="1" customWidth="1"/>
    <col min="13061" max="13312" width="9.140625" style="1"/>
    <col min="13313" max="13313" width="25" style="1" customWidth="1"/>
    <col min="13314" max="13314" width="59.28515625" style="1" customWidth="1"/>
    <col min="13315" max="13315" width="16.5703125" style="1" customWidth="1"/>
    <col min="13316" max="13316" width="5.42578125" style="1" customWidth="1"/>
    <col min="13317" max="13568" width="9.140625" style="1"/>
    <col min="13569" max="13569" width="25" style="1" customWidth="1"/>
    <col min="13570" max="13570" width="59.28515625" style="1" customWidth="1"/>
    <col min="13571" max="13571" width="16.5703125" style="1" customWidth="1"/>
    <col min="13572" max="13572" width="5.42578125" style="1" customWidth="1"/>
    <col min="13573" max="13824" width="9.140625" style="1"/>
    <col min="13825" max="13825" width="25" style="1" customWidth="1"/>
    <col min="13826" max="13826" width="59.28515625" style="1" customWidth="1"/>
    <col min="13827" max="13827" width="16.5703125" style="1" customWidth="1"/>
    <col min="13828" max="13828" width="5.42578125" style="1" customWidth="1"/>
    <col min="13829" max="14080" width="9.140625" style="1"/>
    <col min="14081" max="14081" width="25" style="1" customWidth="1"/>
    <col min="14082" max="14082" width="59.28515625" style="1" customWidth="1"/>
    <col min="14083" max="14083" width="16.5703125" style="1" customWidth="1"/>
    <col min="14084" max="14084" width="5.42578125" style="1" customWidth="1"/>
    <col min="14085" max="14336" width="9.140625" style="1"/>
    <col min="14337" max="14337" width="25" style="1" customWidth="1"/>
    <col min="14338" max="14338" width="59.28515625" style="1" customWidth="1"/>
    <col min="14339" max="14339" width="16.5703125" style="1" customWidth="1"/>
    <col min="14340" max="14340" width="5.42578125" style="1" customWidth="1"/>
    <col min="14341" max="14592" width="9.140625" style="1"/>
    <col min="14593" max="14593" width="25" style="1" customWidth="1"/>
    <col min="14594" max="14594" width="59.28515625" style="1" customWidth="1"/>
    <col min="14595" max="14595" width="16.5703125" style="1" customWidth="1"/>
    <col min="14596" max="14596" width="5.42578125" style="1" customWidth="1"/>
    <col min="14597" max="14848" width="9.140625" style="1"/>
    <col min="14849" max="14849" width="25" style="1" customWidth="1"/>
    <col min="14850" max="14850" width="59.28515625" style="1" customWidth="1"/>
    <col min="14851" max="14851" width="16.5703125" style="1" customWidth="1"/>
    <col min="14852" max="14852" width="5.42578125" style="1" customWidth="1"/>
    <col min="14853" max="15104" width="9.140625" style="1"/>
    <col min="15105" max="15105" width="25" style="1" customWidth="1"/>
    <col min="15106" max="15106" width="59.28515625" style="1" customWidth="1"/>
    <col min="15107" max="15107" width="16.5703125" style="1" customWidth="1"/>
    <col min="15108" max="15108" width="5.42578125" style="1" customWidth="1"/>
    <col min="15109" max="15360" width="9.140625" style="1"/>
    <col min="15361" max="15361" width="25" style="1" customWidth="1"/>
    <col min="15362" max="15362" width="59.28515625" style="1" customWidth="1"/>
    <col min="15363" max="15363" width="16.5703125" style="1" customWidth="1"/>
    <col min="15364" max="15364" width="5.42578125" style="1" customWidth="1"/>
    <col min="15365" max="15616" width="9.140625" style="1"/>
    <col min="15617" max="15617" width="25" style="1" customWidth="1"/>
    <col min="15618" max="15618" width="59.28515625" style="1" customWidth="1"/>
    <col min="15619" max="15619" width="16.5703125" style="1" customWidth="1"/>
    <col min="15620" max="15620" width="5.42578125" style="1" customWidth="1"/>
    <col min="15621" max="15872" width="9.140625" style="1"/>
    <col min="15873" max="15873" width="25" style="1" customWidth="1"/>
    <col min="15874" max="15874" width="59.28515625" style="1" customWidth="1"/>
    <col min="15875" max="15875" width="16.5703125" style="1" customWidth="1"/>
    <col min="15876" max="15876" width="5.42578125" style="1" customWidth="1"/>
    <col min="15877" max="16128" width="9.140625" style="1"/>
    <col min="16129" max="16129" width="25" style="1" customWidth="1"/>
    <col min="16130" max="16130" width="59.28515625" style="1" customWidth="1"/>
    <col min="16131" max="16131" width="16.5703125" style="1" customWidth="1"/>
    <col min="16132" max="16132" width="5.42578125" style="1" customWidth="1"/>
    <col min="16133" max="16384" width="9.140625" style="1"/>
  </cols>
  <sheetData>
    <row r="1" spans="1:4" x14ac:dyDescent="0.2">
      <c r="B1" s="432" t="s">
        <v>519</v>
      </c>
      <c r="C1" s="432"/>
      <c r="D1" s="10"/>
    </row>
    <row r="2" spans="1:4" x14ac:dyDescent="0.2">
      <c r="B2" s="432" t="s">
        <v>275</v>
      </c>
      <c r="C2" s="432"/>
      <c r="D2" s="10"/>
    </row>
    <row r="3" spans="1:4" ht="12.75" customHeight="1" x14ac:dyDescent="0.2">
      <c r="B3" s="433" t="s">
        <v>567</v>
      </c>
      <c r="C3" s="433"/>
      <c r="D3" s="11"/>
    </row>
    <row r="4" spans="1:4" x14ac:dyDescent="0.2">
      <c r="B4" s="432" t="s">
        <v>564</v>
      </c>
      <c r="C4" s="432"/>
      <c r="D4" s="10"/>
    </row>
    <row r="5" spans="1:4" ht="66.75" customHeight="1" x14ac:dyDescent="0.3">
      <c r="A5" s="434" t="s">
        <v>561</v>
      </c>
      <c r="B5" s="434"/>
      <c r="C5" s="434"/>
      <c r="D5" s="59"/>
    </row>
    <row r="6" spans="1:4" ht="14.25" customHeight="1" x14ac:dyDescent="0.3">
      <c r="A6" s="60"/>
      <c r="B6" s="61"/>
      <c r="C6" s="61"/>
      <c r="D6" s="61"/>
    </row>
    <row r="7" spans="1:4" ht="15.75" x14ac:dyDescent="0.25">
      <c r="C7" s="69" t="s">
        <v>289</v>
      </c>
    </row>
    <row r="8" spans="1:4" ht="31.5" x14ac:dyDescent="0.2">
      <c r="A8" s="5" t="s">
        <v>290</v>
      </c>
      <c r="B8" s="13" t="s">
        <v>291</v>
      </c>
      <c r="C8" s="13" t="s">
        <v>292</v>
      </c>
    </row>
    <row r="9" spans="1:4" ht="16.5" thickBot="1" x14ac:dyDescent="0.25">
      <c r="A9" s="62">
        <v>1</v>
      </c>
      <c r="B9" s="62">
        <v>2</v>
      </c>
      <c r="C9" s="62">
        <v>3</v>
      </c>
    </row>
    <row r="10" spans="1:4" ht="16.5" customHeight="1" thickBot="1" x14ac:dyDescent="0.25">
      <c r="A10" s="421" t="s">
        <v>294</v>
      </c>
      <c r="B10" s="422"/>
      <c r="C10" s="423"/>
    </row>
    <row r="11" spans="1:4" ht="79.5" thickBot="1" x14ac:dyDescent="0.25">
      <c r="A11" s="70" t="s">
        <v>108</v>
      </c>
      <c r="B11" s="71" t="s">
        <v>109</v>
      </c>
      <c r="C11" s="72">
        <v>100</v>
      </c>
    </row>
    <row r="12" spans="1:4" ht="112.5" customHeight="1" x14ac:dyDescent="0.2">
      <c r="A12" s="424" t="s">
        <v>110</v>
      </c>
      <c r="B12" s="427" t="s">
        <v>111</v>
      </c>
      <c r="C12" s="435">
        <v>100</v>
      </c>
    </row>
    <row r="13" spans="1:4" ht="13.5" customHeight="1" thickBot="1" x14ac:dyDescent="0.25">
      <c r="A13" s="426"/>
      <c r="B13" s="429"/>
      <c r="C13" s="436"/>
    </row>
    <row r="14" spans="1:4" ht="49.5" customHeight="1" thickBot="1" x14ac:dyDescent="0.25">
      <c r="A14" s="90" t="s">
        <v>112</v>
      </c>
      <c r="B14" s="71" t="s">
        <v>295</v>
      </c>
      <c r="C14" s="72">
        <v>100</v>
      </c>
    </row>
    <row r="15" spans="1:4" ht="48" thickBot="1" x14ac:dyDescent="0.25">
      <c r="A15" s="73" t="s">
        <v>385</v>
      </c>
      <c r="B15" s="71" t="s">
        <v>386</v>
      </c>
      <c r="C15" s="72">
        <v>100</v>
      </c>
    </row>
    <row r="16" spans="1:4" ht="63" customHeight="1" thickBot="1" x14ac:dyDescent="0.25">
      <c r="A16" s="421" t="s">
        <v>296</v>
      </c>
      <c r="B16" s="422"/>
      <c r="C16" s="423"/>
    </row>
    <row r="17" spans="1:3" ht="46.5" customHeight="1" x14ac:dyDescent="0.2">
      <c r="A17" s="437" t="s">
        <v>329</v>
      </c>
      <c r="B17" s="427" t="s">
        <v>387</v>
      </c>
      <c r="C17" s="75"/>
    </row>
    <row r="18" spans="1:3" ht="15.75" x14ac:dyDescent="0.2">
      <c r="A18" s="438"/>
      <c r="B18" s="428"/>
      <c r="C18" s="75"/>
    </row>
    <row r="19" spans="1:3" ht="60" customHeight="1" thickBot="1" x14ac:dyDescent="0.25">
      <c r="A19" s="439"/>
      <c r="B19" s="429"/>
      <c r="C19" s="76">
        <v>100</v>
      </c>
    </row>
    <row r="20" spans="1:3" ht="68.25" customHeight="1" x14ac:dyDescent="0.2">
      <c r="A20" s="437" t="s">
        <v>330</v>
      </c>
      <c r="B20" s="427" t="s">
        <v>389</v>
      </c>
      <c r="C20" s="75"/>
    </row>
    <row r="21" spans="1:3" ht="15.75" x14ac:dyDescent="0.2">
      <c r="A21" s="438"/>
      <c r="B21" s="428"/>
      <c r="C21" s="75"/>
    </row>
    <row r="22" spans="1:3" ht="63.75" customHeight="1" thickBot="1" x14ac:dyDescent="0.25">
      <c r="A22" s="439"/>
      <c r="B22" s="429"/>
      <c r="C22" s="76">
        <v>100</v>
      </c>
    </row>
    <row r="23" spans="1:3" ht="126.75" thickBot="1" x14ac:dyDescent="0.25">
      <c r="A23" s="77" t="s">
        <v>331</v>
      </c>
      <c r="B23" s="71" t="s">
        <v>388</v>
      </c>
      <c r="C23" s="76">
        <v>100</v>
      </c>
    </row>
    <row r="24" spans="1:3" ht="45.75" customHeight="1" x14ac:dyDescent="0.2">
      <c r="A24" s="437" t="s">
        <v>332</v>
      </c>
      <c r="B24" s="440" t="s">
        <v>390</v>
      </c>
      <c r="C24" s="79"/>
    </row>
    <row r="25" spans="1:3" ht="18.75" x14ac:dyDescent="0.2">
      <c r="A25" s="438"/>
      <c r="B25" s="441"/>
      <c r="C25" s="80"/>
    </row>
    <row r="26" spans="1:3" ht="58.5" customHeight="1" thickBot="1" x14ac:dyDescent="0.25">
      <c r="A26" s="439"/>
      <c r="B26" s="442"/>
      <c r="C26" s="75">
        <v>100</v>
      </c>
    </row>
    <row r="27" spans="1:3" ht="16.5" thickBot="1" x14ac:dyDescent="0.25">
      <c r="A27" s="421" t="s">
        <v>297</v>
      </c>
      <c r="B27" s="422"/>
      <c r="C27" s="423"/>
    </row>
    <row r="28" spans="1:3" ht="16.5" thickBot="1" x14ac:dyDescent="0.25">
      <c r="A28" s="77" t="s">
        <v>130</v>
      </c>
      <c r="B28" s="71" t="s">
        <v>129</v>
      </c>
      <c r="C28" s="76">
        <v>100</v>
      </c>
    </row>
    <row r="29" spans="1:3" ht="19.5" thickBot="1" x14ac:dyDescent="0.25">
      <c r="A29" s="443" t="s">
        <v>298</v>
      </c>
      <c r="B29" s="444"/>
      <c r="C29" s="445"/>
    </row>
    <row r="30" spans="1:3" ht="33.75" customHeight="1" x14ac:dyDescent="0.2">
      <c r="A30" s="437" t="s">
        <v>137</v>
      </c>
      <c r="B30" s="427" t="s">
        <v>138</v>
      </c>
      <c r="C30" s="424">
        <v>100</v>
      </c>
    </row>
    <row r="31" spans="1:3" ht="13.5" thickBot="1" x14ac:dyDescent="0.25">
      <c r="A31" s="439"/>
      <c r="B31" s="429"/>
      <c r="C31" s="426"/>
    </row>
    <row r="32" spans="1:3" ht="18" customHeight="1" x14ac:dyDescent="0.2">
      <c r="A32" s="437" t="s">
        <v>143</v>
      </c>
      <c r="B32" s="427" t="s">
        <v>299</v>
      </c>
      <c r="C32" s="424">
        <v>100</v>
      </c>
    </row>
    <row r="33" spans="1:3" ht="13.5" thickBot="1" x14ac:dyDescent="0.25">
      <c r="A33" s="439"/>
      <c r="B33" s="429"/>
      <c r="C33" s="426"/>
    </row>
    <row r="34" spans="1:3" ht="21" customHeight="1" x14ac:dyDescent="0.2">
      <c r="A34" s="437" t="s">
        <v>147</v>
      </c>
      <c r="B34" s="427" t="s">
        <v>148</v>
      </c>
      <c r="C34" s="424">
        <v>100</v>
      </c>
    </row>
    <row r="35" spans="1:3" x14ac:dyDescent="0.2">
      <c r="A35" s="438"/>
      <c r="B35" s="428"/>
      <c r="C35" s="425"/>
    </row>
    <row r="36" spans="1:3" ht="13.5" thickBot="1" x14ac:dyDescent="0.25">
      <c r="A36" s="439"/>
      <c r="B36" s="429"/>
      <c r="C36" s="426"/>
    </row>
    <row r="37" spans="1:3" ht="16.5" thickBot="1" x14ac:dyDescent="0.25">
      <c r="A37" s="421" t="s">
        <v>300</v>
      </c>
      <c r="B37" s="422"/>
      <c r="C37" s="423"/>
    </row>
    <row r="38" spans="1:3" ht="79.5" thickBot="1" x14ac:dyDescent="0.25">
      <c r="A38" s="70" t="s">
        <v>153</v>
      </c>
      <c r="B38" s="71" t="s">
        <v>154</v>
      </c>
      <c r="C38" s="76">
        <v>100</v>
      </c>
    </row>
    <row r="39" spans="1:3" ht="31.5" customHeight="1" thickBot="1" x14ac:dyDescent="0.25">
      <c r="A39" s="421" t="s">
        <v>301</v>
      </c>
      <c r="B39" s="422"/>
      <c r="C39" s="423"/>
    </row>
    <row r="40" spans="1:3" ht="50.25" thickBot="1" x14ac:dyDescent="0.25">
      <c r="A40" s="70" t="s">
        <v>161</v>
      </c>
      <c r="B40" s="81" t="s">
        <v>302</v>
      </c>
      <c r="C40" s="76">
        <v>100</v>
      </c>
    </row>
    <row r="41" spans="1:3" ht="31.5" customHeight="1" thickBot="1" x14ac:dyDescent="0.25">
      <c r="A41" s="421" t="s">
        <v>303</v>
      </c>
      <c r="B41" s="422"/>
      <c r="C41" s="423"/>
    </row>
    <row r="42" spans="1:3" ht="79.5" thickBot="1" x14ac:dyDescent="0.25">
      <c r="A42" s="88" t="s">
        <v>169</v>
      </c>
      <c r="B42" s="89" t="s">
        <v>321</v>
      </c>
      <c r="C42" s="78">
        <v>100</v>
      </c>
    </row>
    <row r="43" spans="1:3" ht="36.75" customHeight="1" x14ac:dyDescent="0.2">
      <c r="A43" s="437" t="s">
        <v>173</v>
      </c>
      <c r="B43" s="427" t="s">
        <v>304</v>
      </c>
      <c r="C43" s="424">
        <v>100</v>
      </c>
    </row>
    <row r="44" spans="1:3" x14ac:dyDescent="0.2">
      <c r="A44" s="438"/>
      <c r="B44" s="428"/>
      <c r="C44" s="425"/>
    </row>
    <row r="45" spans="1:3" ht="13.5" thickBot="1" x14ac:dyDescent="0.25">
      <c r="A45" s="439"/>
      <c r="B45" s="429"/>
      <c r="C45" s="426"/>
    </row>
    <row r="46" spans="1:3" ht="34.5" customHeight="1" thickBot="1" x14ac:dyDescent="0.25">
      <c r="A46" s="91" t="s">
        <v>391</v>
      </c>
      <c r="B46" s="71" t="s">
        <v>392</v>
      </c>
      <c r="C46" s="76"/>
    </row>
    <row r="47" spans="1:3" ht="95.25" thickBot="1" x14ac:dyDescent="0.25">
      <c r="A47" s="91" t="s">
        <v>393</v>
      </c>
      <c r="B47" s="71" t="s">
        <v>394</v>
      </c>
      <c r="C47" s="76"/>
    </row>
    <row r="48" spans="1:3" ht="63.75" thickBot="1" x14ac:dyDescent="0.25">
      <c r="A48" s="82" t="s">
        <v>179</v>
      </c>
      <c r="B48" s="74" t="s">
        <v>180</v>
      </c>
      <c r="C48" s="83">
        <v>100</v>
      </c>
    </row>
    <row r="49" spans="1:3" ht="15.75" customHeight="1" x14ac:dyDescent="0.2">
      <c r="A49" s="414" t="s">
        <v>305</v>
      </c>
      <c r="B49" s="415"/>
      <c r="C49" s="416"/>
    </row>
    <row r="50" spans="1:3" ht="16.5" thickBot="1" x14ac:dyDescent="0.25">
      <c r="A50" s="417" t="s">
        <v>306</v>
      </c>
      <c r="B50" s="418"/>
      <c r="C50" s="419"/>
    </row>
    <row r="51" spans="1:3" ht="32.25" thickBot="1" x14ac:dyDescent="0.25">
      <c r="A51" s="84" t="s">
        <v>307</v>
      </c>
      <c r="B51" s="71" t="s">
        <v>308</v>
      </c>
      <c r="C51" s="76">
        <v>100</v>
      </c>
    </row>
    <row r="52" spans="1:3" ht="48" thickBot="1" x14ac:dyDescent="0.25">
      <c r="A52" s="84" t="s">
        <v>187</v>
      </c>
      <c r="B52" s="71" t="s">
        <v>188</v>
      </c>
      <c r="C52" s="76">
        <v>100</v>
      </c>
    </row>
    <row r="53" spans="1:3" ht="32.25" thickBot="1" x14ac:dyDescent="0.25">
      <c r="A53" s="85" t="s">
        <v>191</v>
      </c>
      <c r="B53" s="86" t="s">
        <v>192</v>
      </c>
      <c r="C53" s="83">
        <v>100</v>
      </c>
    </row>
    <row r="54" spans="1:3" ht="15.75" customHeight="1" x14ac:dyDescent="0.2">
      <c r="A54" s="414" t="s">
        <v>309</v>
      </c>
      <c r="B54" s="415"/>
      <c r="C54" s="416"/>
    </row>
    <row r="55" spans="1:3" ht="16.5" thickBot="1" x14ac:dyDescent="0.25">
      <c r="A55" s="417" t="s">
        <v>310</v>
      </c>
      <c r="B55" s="418"/>
      <c r="C55" s="419"/>
    </row>
    <row r="56" spans="1:3" ht="90.75" thickBot="1" x14ac:dyDescent="0.25">
      <c r="A56" s="73" t="s">
        <v>199</v>
      </c>
      <c r="B56" s="87" t="s">
        <v>311</v>
      </c>
      <c r="C56" s="83">
        <v>100</v>
      </c>
    </row>
    <row r="57" spans="1:3" x14ac:dyDescent="0.2">
      <c r="A57" s="424" t="s">
        <v>205</v>
      </c>
      <c r="B57" s="427" t="s">
        <v>206</v>
      </c>
      <c r="C57" s="424">
        <v>100</v>
      </c>
    </row>
    <row r="58" spans="1:3" x14ac:dyDescent="0.2">
      <c r="A58" s="425"/>
      <c r="B58" s="428"/>
      <c r="C58" s="430"/>
    </row>
    <row r="59" spans="1:3" ht="34.5" customHeight="1" thickBot="1" x14ac:dyDescent="0.25">
      <c r="A59" s="426"/>
      <c r="B59" s="429"/>
      <c r="C59" s="431"/>
    </row>
    <row r="60" spans="1:3" ht="16.5" thickBot="1" x14ac:dyDescent="0.25">
      <c r="A60" s="421" t="s">
        <v>312</v>
      </c>
      <c r="B60" s="422"/>
      <c r="C60" s="423"/>
    </row>
    <row r="61" spans="1:3" ht="48" thickBot="1" x14ac:dyDescent="0.25">
      <c r="A61" s="84" t="s">
        <v>211</v>
      </c>
      <c r="B61" s="71" t="s">
        <v>313</v>
      </c>
      <c r="C61" s="76">
        <v>100</v>
      </c>
    </row>
    <row r="62" spans="1:3" ht="16.5" thickBot="1" x14ac:dyDescent="0.25">
      <c r="A62" s="421" t="s">
        <v>314</v>
      </c>
      <c r="B62" s="422"/>
      <c r="C62" s="423"/>
    </row>
    <row r="63" spans="1:3" ht="63.75" thickBot="1" x14ac:dyDescent="0.25">
      <c r="A63" s="70" t="s">
        <v>395</v>
      </c>
      <c r="B63" s="71" t="s">
        <v>396</v>
      </c>
      <c r="C63" s="76">
        <v>100</v>
      </c>
    </row>
    <row r="64" spans="1:3" ht="95.25" thickBot="1" x14ac:dyDescent="0.25">
      <c r="A64" s="70" t="s">
        <v>397</v>
      </c>
      <c r="B64" s="71" t="s">
        <v>398</v>
      </c>
      <c r="C64" s="76">
        <v>100</v>
      </c>
    </row>
    <row r="65" spans="1:3" ht="95.25" thickBot="1" x14ac:dyDescent="0.25">
      <c r="A65" s="84" t="s">
        <v>399</v>
      </c>
      <c r="B65" s="71" t="s">
        <v>400</v>
      </c>
      <c r="C65" s="76">
        <v>100</v>
      </c>
    </row>
    <row r="66" spans="1:3" ht="16.5" thickBot="1" x14ac:dyDescent="0.25">
      <c r="A66" s="421" t="s">
        <v>315</v>
      </c>
      <c r="B66" s="422"/>
      <c r="C66" s="423"/>
    </row>
    <row r="67" spans="1:3" ht="32.25" thickBot="1" x14ac:dyDescent="0.25">
      <c r="A67" s="70" t="s">
        <v>223</v>
      </c>
      <c r="B67" s="71" t="s">
        <v>224</v>
      </c>
      <c r="C67" s="76">
        <v>100</v>
      </c>
    </row>
    <row r="68" spans="1:3" ht="32.25" thickBot="1" x14ac:dyDescent="0.25">
      <c r="A68" s="90" t="s">
        <v>227</v>
      </c>
      <c r="B68" s="71" t="s">
        <v>228</v>
      </c>
      <c r="C68" s="76">
        <v>100</v>
      </c>
    </row>
    <row r="69" spans="1:3" ht="32.25" thickBot="1" x14ac:dyDescent="0.25">
      <c r="A69" s="70" t="s">
        <v>401</v>
      </c>
      <c r="B69" s="71" t="s">
        <v>402</v>
      </c>
      <c r="C69" s="76">
        <v>100</v>
      </c>
    </row>
    <row r="70" spans="1:3" ht="34.5" customHeight="1" x14ac:dyDescent="0.25">
      <c r="A70" s="420" t="s">
        <v>293</v>
      </c>
      <c r="B70" s="420"/>
      <c r="C70" s="420"/>
    </row>
    <row r="71" spans="1:3" ht="47.25" x14ac:dyDescent="0.2">
      <c r="A71" s="63" t="s">
        <v>380</v>
      </c>
      <c r="B71" s="64" t="s">
        <v>276</v>
      </c>
      <c r="C71" s="62">
        <v>100</v>
      </c>
    </row>
    <row r="72" spans="1:3" ht="47.25" x14ac:dyDescent="0.2">
      <c r="A72" s="63" t="s">
        <v>381</v>
      </c>
      <c r="B72" s="64" t="s">
        <v>277</v>
      </c>
      <c r="C72" s="62">
        <v>100</v>
      </c>
    </row>
    <row r="73" spans="1:3" ht="31.5" x14ac:dyDescent="0.2">
      <c r="A73" s="63" t="s">
        <v>333</v>
      </c>
      <c r="B73" s="64" t="s">
        <v>327</v>
      </c>
      <c r="C73" s="62">
        <v>100</v>
      </c>
    </row>
    <row r="74" spans="1:3" ht="47.25" x14ac:dyDescent="0.2">
      <c r="A74" s="63" t="s">
        <v>334</v>
      </c>
      <c r="B74" s="64" t="s">
        <v>240</v>
      </c>
      <c r="C74" s="62">
        <v>100</v>
      </c>
    </row>
    <row r="75" spans="1:3" ht="63" customHeight="1" x14ac:dyDescent="0.2">
      <c r="A75" s="63" t="s">
        <v>372</v>
      </c>
      <c r="B75" s="64" t="s">
        <v>373</v>
      </c>
      <c r="C75" s="62">
        <v>100</v>
      </c>
    </row>
    <row r="76" spans="1:3" ht="22.5" customHeight="1" x14ac:dyDescent="0.2">
      <c r="A76" s="63" t="s">
        <v>335</v>
      </c>
      <c r="B76" s="64" t="s">
        <v>278</v>
      </c>
      <c r="C76" s="62">
        <v>100</v>
      </c>
    </row>
    <row r="77" spans="1:3" ht="48" customHeight="1" x14ac:dyDescent="0.2">
      <c r="A77" s="63" t="s">
        <v>367</v>
      </c>
      <c r="B77" s="64" t="s">
        <v>368</v>
      </c>
      <c r="C77" s="62">
        <v>100</v>
      </c>
    </row>
    <row r="78" spans="1:3" ht="22.5" customHeight="1" x14ac:dyDescent="0.2">
      <c r="A78" s="63" t="s">
        <v>341</v>
      </c>
      <c r="B78" s="64" t="s">
        <v>342</v>
      </c>
      <c r="C78" s="62"/>
    </row>
    <row r="79" spans="1:3" ht="50.25" customHeight="1" x14ac:dyDescent="0.2">
      <c r="A79" s="63" t="s">
        <v>336</v>
      </c>
      <c r="B79" s="64" t="s">
        <v>279</v>
      </c>
      <c r="C79" s="62">
        <v>100</v>
      </c>
    </row>
    <row r="80" spans="1:3" ht="63" x14ac:dyDescent="0.2">
      <c r="A80" s="63" t="s">
        <v>337</v>
      </c>
      <c r="B80" s="64" t="s">
        <v>403</v>
      </c>
      <c r="C80" s="62">
        <v>100</v>
      </c>
    </row>
    <row r="81" spans="1:3" ht="47.25" x14ac:dyDescent="0.2">
      <c r="A81" s="63" t="s">
        <v>338</v>
      </c>
      <c r="B81" s="64" t="s">
        <v>243</v>
      </c>
      <c r="C81" s="62">
        <v>100</v>
      </c>
    </row>
    <row r="82" spans="1:3" ht="21" customHeight="1" x14ac:dyDescent="0.2">
      <c r="A82" s="63" t="s">
        <v>339</v>
      </c>
      <c r="B82" s="64" t="s">
        <v>280</v>
      </c>
      <c r="C82" s="62">
        <v>100</v>
      </c>
    </row>
    <row r="83" spans="1:3" ht="78.75" x14ac:dyDescent="0.2">
      <c r="A83" s="65" t="s">
        <v>340</v>
      </c>
      <c r="B83" s="66" t="s">
        <v>281</v>
      </c>
      <c r="C83" s="62">
        <v>100</v>
      </c>
    </row>
    <row r="84" spans="1:3" ht="63" x14ac:dyDescent="0.2">
      <c r="A84" s="65" t="s">
        <v>344</v>
      </c>
      <c r="B84" s="66" t="s">
        <v>251</v>
      </c>
      <c r="C84" s="62">
        <v>100</v>
      </c>
    </row>
    <row r="85" spans="1:3" ht="31.5" x14ac:dyDescent="0.2">
      <c r="A85" s="65" t="s">
        <v>345</v>
      </c>
      <c r="B85" s="66" t="s">
        <v>253</v>
      </c>
      <c r="C85" s="62">
        <v>100</v>
      </c>
    </row>
    <row r="86" spans="1:3" ht="63" x14ac:dyDescent="0.2">
      <c r="A86" s="63" t="s">
        <v>346</v>
      </c>
      <c r="B86" s="64" t="s">
        <v>282</v>
      </c>
      <c r="C86" s="62">
        <v>100</v>
      </c>
    </row>
    <row r="87" spans="1:3" ht="63" x14ac:dyDescent="0.2">
      <c r="A87" s="63" t="s">
        <v>347</v>
      </c>
      <c r="B87" s="64" t="s">
        <v>283</v>
      </c>
      <c r="C87" s="62">
        <v>100</v>
      </c>
    </row>
    <row r="88" spans="1:3" ht="81" customHeight="1" x14ac:dyDescent="0.2">
      <c r="A88" s="63" t="s">
        <v>374</v>
      </c>
      <c r="B88" s="64" t="s">
        <v>375</v>
      </c>
      <c r="C88" s="62">
        <v>100</v>
      </c>
    </row>
    <row r="89" spans="1:3" ht="31.5" x14ac:dyDescent="0.2">
      <c r="A89" s="63" t="s">
        <v>354</v>
      </c>
      <c r="B89" s="64" t="s">
        <v>355</v>
      </c>
      <c r="C89" s="62">
        <v>100</v>
      </c>
    </row>
    <row r="90" spans="1:3" ht="94.5" x14ac:dyDescent="0.2">
      <c r="A90" s="63" t="s">
        <v>348</v>
      </c>
      <c r="B90" s="64" t="s">
        <v>322</v>
      </c>
      <c r="C90" s="62">
        <v>100</v>
      </c>
    </row>
    <row r="91" spans="1:3" ht="31.5" x14ac:dyDescent="0.2">
      <c r="A91" s="65" t="s">
        <v>350</v>
      </c>
      <c r="B91" s="66" t="s">
        <v>272</v>
      </c>
      <c r="C91" s="62">
        <v>100</v>
      </c>
    </row>
    <row r="92" spans="1:3" ht="47.25" x14ac:dyDescent="0.2">
      <c r="A92" s="67" t="s">
        <v>352</v>
      </c>
      <c r="B92" s="68" t="s">
        <v>285</v>
      </c>
      <c r="C92" s="62">
        <v>100</v>
      </c>
    </row>
    <row r="93" spans="1:3" ht="31.5" x14ac:dyDescent="0.2">
      <c r="A93" s="63" t="s">
        <v>353</v>
      </c>
      <c r="B93" s="68" t="s">
        <v>286</v>
      </c>
      <c r="C93" s="62">
        <v>100</v>
      </c>
    </row>
    <row r="94" spans="1:3" ht="63" x14ac:dyDescent="0.2">
      <c r="A94" s="67" t="s">
        <v>351</v>
      </c>
      <c r="B94" s="68" t="s">
        <v>287</v>
      </c>
      <c r="C94" s="62">
        <v>100</v>
      </c>
    </row>
    <row r="95" spans="1:3" ht="63" x14ac:dyDescent="0.2">
      <c r="A95" s="67" t="s">
        <v>356</v>
      </c>
      <c r="B95" s="68" t="s">
        <v>288</v>
      </c>
      <c r="C95" s="62">
        <v>100</v>
      </c>
    </row>
    <row r="96" spans="1:3" ht="31.5" x14ac:dyDescent="0.2">
      <c r="A96" s="65" t="s">
        <v>349</v>
      </c>
      <c r="B96" s="66" t="s">
        <v>284</v>
      </c>
      <c r="C96" s="62">
        <v>100</v>
      </c>
    </row>
  </sheetData>
  <mergeCells count="44">
    <mergeCell ref="A43:A45"/>
    <mergeCell ref="B43:B45"/>
    <mergeCell ref="C43:C45"/>
    <mergeCell ref="A37:C37"/>
    <mergeCell ref="A39:C39"/>
    <mergeCell ref="A41:C41"/>
    <mergeCell ref="A32:A33"/>
    <mergeCell ref="B32:B33"/>
    <mergeCell ref="C32:C33"/>
    <mergeCell ref="A34:A36"/>
    <mergeCell ref="B34:B36"/>
    <mergeCell ref="C34:C36"/>
    <mergeCell ref="A27:C27"/>
    <mergeCell ref="A29:C29"/>
    <mergeCell ref="A30:A31"/>
    <mergeCell ref="B30:B31"/>
    <mergeCell ref="C30:C31"/>
    <mergeCell ref="A17:A19"/>
    <mergeCell ref="B17:B19"/>
    <mergeCell ref="A20:A22"/>
    <mergeCell ref="B20:B22"/>
    <mergeCell ref="A24:A26"/>
    <mergeCell ref="B24:B26"/>
    <mergeCell ref="A10:C10"/>
    <mergeCell ref="A12:A13"/>
    <mergeCell ref="B12:B13"/>
    <mergeCell ref="C12:C13"/>
    <mergeCell ref="A16:C16"/>
    <mergeCell ref="B1:C1"/>
    <mergeCell ref="B2:C2"/>
    <mergeCell ref="B3:C3"/>
    <mergeCell ref="B4:C4"/>
    <mergeCell ref="A5:C5"/>
    <mergeCell ref="A49:C49"/>
    <mergeCell ref="A50:C50"/>
    <mergeCell ref="A54:C54"/>
    <mergeCell ref="A55:C55"/>
    <mergeCell ref="A70:C70"/>
    <mergeCell ref="A60:C60"/>
    <mergeCell ref="A62:C62"/>
    <mergeCell ref="A66:C66"/>
    <mergeCell ref="A57:A59"/>
    <mergeCell ref="B57:B59"/>
    <mergeCell ref="C57:C59"/>
  </mergeCells>
  <pageMargins left="0.17" right="0.17" top="0.25" bottom="0.18" header="0.16" footer="0.1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4"/>
  <sheetViews>
    <sheetView zoomScale="90" zoomScaleNormal="90" workbookViewId="0">
      <selection activeCell="C14" sqref="C13:C14"/>
    </sheetView>
  </sheetViews>
  <sheetFormatPr defaultRowHeight="15" x14ac:dyDescent="0.25"/>
  <cols>
    <col min="1" max="1" width="8.85546875" customWidth="1"/>
    <col min="2" max="2" width="51.28515625" customWidth="1"/>
    <col min="3" max="3" width="21.28515625" customWidth="1"/>
    <col min="4" max="4" width="23.5703125" customWidth="1"/>
  </cols>
  <sheetData>
    <row r="2" spans="1:4" x14ac:dyDescent="0.25">
      <c r="C2" s="461" t="s">
        <v>520</v>
      </c>
      <c r="D2" s="450"/>
    </row>
    <row r="3" spans="1:4" x14ac:dyDescent="0.25">
      <c r="C3" s="167" t="s">
        <v>75</v>
      </c>
      <c r="D3" s="167"/>
    </row>
    <row r="4" spans="1:4" x14ac:dyDescent="0.25">
      <c r="C4" s="462" t="s">
        <v>316</v>
      </c>
      <c r="D4" s="462"/>
    </row>
    <row r="5" spans="1:4" x14ac:dyDescent="0.25">
      <c r="C5" s="462" t="s">
        <v>581</v>
      </c>
      <c r="D5" s="462"/>
    </row>
    <row r="6" spans="1:4" x14ac:dyDescent="0.25">
      <c r="C6" s="462"/>
      <c r="D6" s="462"/>
    </row>
    <row r="7" spans="1:4" x14ac:dyDescent="0.25">
      <c r="C7" s="168"/>
      <c r="D7" s="168"/>
    </row>
    <row r="8" spans="1:4" ht="18.75" x14ac:dyDescent="0.3">
      <c r="B8" s="463" t="s">
        <v>582</v>
      </c>
      <c r="C8" s="463"/>
      <c r="D8" s="463"/>
    </row>
    <row r="10" spans="1:4" ht="15.75" thickBot="1" x14ac:dyDescent="0.3"/>
    <row r="11" spans="1:4" ht="87" customHeight="1" thickBot="1" x14ac:dyDescent="0.3">
      <c r="A11" s="169" t="s">
        <v>474</v>
      </c>
      <c r="B11" s="169" t="s">
        <v>475</v>
      </c>
      <c r="C11" s="169" t="s">
        <v>382</v>
      </c>
      <c r="D11" s="170" t="s">
        <v>476</v>
      </c>
    </row>
    <row r="12" spans="1:4" ht="37.5" customHeight="1" thickBot="1" x14ac:dyDescent="0.3">
      <c r="A12" s="171" t="s">
        <v>457</v>
      </c>
      <c r="B12" s="172" t="s">
        <v>477</v>
      </c>
      <c r="C12" s="173">
        <v>10906.59</v>
      </c>
      <c r="D12" s="173">
        <v>11392.2</v>
      </c>
    </row>
    <row r="13" spans="1:4" ht="69" customHeight="1" thickBot="1" x14ac:dyDescent="0.3">
      <c r="A13" s="174" t="s">
        <v>478</v>
      </c>
      <c r="B13" s="175" t="s">
        <v>479</v>
      </c>
      <c r="C13" s="201">
        <v>4795.59</v>
      </c>
      <c r="D13" s="176">
        <v>4910.1000000000004</v>
      </c>
    </row>
    <row r="14" spans="1:4" ht="66" customHeight="1" thickBot="1" x14ac:dyDescent="0.3">
      <c r="A14" s="174" t="s">
        <v>480</v>
      </c>
      <c r="B14" s="175" t="s">
        <v>481</v>
      </c>
      <c r="C14" s="176"/>
      <c r="D14" s="176"/>
    </row>
    <row r="15" spans="1:4" ht="51.75" customHeight="1" thickBot="1" x14ac:dyDescent="0.3">
      <c r="A15" s="174" t="s">
        <v>482</v>
      </c>
      <c r="B15" s="175" t="s">
        <v>483</v>
      </c>
      <c r="C15" s="176">
        <v>2773</v>
      </c>
      <c r="D15" s="176">
        <v>2739.55</v>
      </c>
    </row>
    <row r="16" spans="1:4" ht="19.5" customHeight="1" thickBot="1" x14ac:dyDescent="0.3">
      <c r="A16" s="177" t="s">
        <v>484</v>
      </c>
      <c r="B16" s="175" t="s">
        <v>485</v>
      </c>
      <c r="C16" s="176">
        <v>5</v>
      </c>
      <c r="D16" s="176">
        <v>5</v>
      </c>
    </row>
    <row r="17" spans="1:4" ht="18.75" customHeight="1" thickBot="1" x14ac:dyDescent="0.3">
      <c r="A17" s="177"/>
      <c r="B17" s="175" t="s">
        <v>486</v>
      </c>
      <c r="C17" s="176">
        <v>5</v>
      </c>
      <c r="D17" s="176">
        <v>5</v>
      </c>
    </row>
    <row r="18" spans="1:4" ht="19.5" customHeight="1" thickBot="1" x14ac:dyDescent="0.3">
      <c r="A18" s="177"/>
      <c r="B18" s="175" t="s">
        <v>487</v>
      </c>
      <c r="C18" s="178"/>
      <c r="D18" s="178"/>
    </row>
    <row r="19" spans="1:4" ht="21" customHeight="1" thickBot="1" x14ac:dyDescent="0.3">
      <c r="A19" s="177" t="s">
        <v>488</v>
      </c>
      <c r="B19" s="175" t="s">
        <v>489</v>
      </c>
      <c r="C19" s="176"/>
      <c r="D19" s="176"/>
    </row>
    <row r="20" spans="1:4" ht="17.25" customHeight="1" thickBot="1" x14ac:dyDescent="0.3">
      <c r="A20" s="177"/>
      <c r="B20" s="175" t="s">
        <v>486</v>
      </c>
      <c r="C20" s="176"/>
      <c r="D20" s="176"/>
    </row>
    <row r="21" spans="1:4" ht="18" customHeight="1" thickBot="1" x14ac:dyDescent="0.3">
      <c r="A21" s="177"/>
      <c r="B21" s="175" t="s">
        <v>490</v>
      </c>
      <c r="C21" s="176"/>
      <c r="D21" s="176"/>
    </row>
    <row r="22" spans="1:4" ht="18.75" customHeight="1" thickBot="1" x14ac:dyDescent="0.3">
      <c r="A22" s="177"/>
      <c r="B22" s="175" t="s">
        <v>491</v>
      </c>
      <c r="C22" s="179"/>
      <c r="D22" s="179"/>
    </row>
    <row r="23" spans="1:4" ht="52.5" customHeight="1" thickBot="1" x14ac:dyDescent="0.3">
      <c r="A23" s="174" t="s">
        <v>492</v>
      </c>
      <c r="B23" s="175" t="s">
        <v>493</v>
      </c>
      <c r="C23" s="176">
        <v>6111</v>
      </c>
      <c r="D23" s="176">
        <v>6190.3</v>
      </c>
    </row>
    <row r="24" spans="1:4" ht="51" customHeight="1" thickBot="1" x14ac:dyDescent="0.3">
      <c r="A24" s="174" t="s">
        <v>494</v>
      </c>
      <c r="B24" s="175" t="s">
        <v>495</v>
      </c>
      <c r="C24" s="180"/>
      <c r="D24" s="180">
        <v>291.8</v>
      </c>
    </row>
    <row r="25" spans="1:4" ht="19.5" customHeight="1" thickBot="1" x14ac:dyDescent="0.3">
      <c r="A25" s="174"/>
      <c r="B25" s="175" t="s">
        <v>496</v>
      </c>
      <c r="C25" s="178"/>
      <c r="D25" s="178"/>
    </row>
    <row r="26" spans="1:4" ht="19.5" customHeight="1" thickBot="1" x14ac:dyDescent="0.3">
      <c r="A26" s="174"/>
      <c r="B26" s="175" t="s">
        <v>497</v>
      </c>
      <c r="C26" s="178"/>
      <c r="D26" s="176"/>
    </row>
    <row r="27" spans="1:4" ht="21.75" customHeight="1" thickBot="1" x14ac:dyDescent="0.3">
      <c r="A27" s="174"/>
      <c r="B27" s="175" t="s">
        <v>498</v>
      </c>
      <c r="C27" s="176"/>
      <c r="D27" s="176"/>
    </row>
    <row r="28" spans="1:4" ht="16.5" customHeight="1" thickBot="1" x14ac:dyDescent="0.3">
      <c r="A28" s="174" t="s">
        <v>459</v>
      </c>
      <c r="B28" s="175" t="s">
        <v>499</v>
      </c>
      <c r="C28" s="176"/>
      <c r="D28" s="176"/>
    </row>
    <row r="29" spans="1:4" ht="65.25" customHeight="1" thickBot="1" x14ac:dyDescent="0.3">
      <c r="A29" s="174" t="s">
        <v>500</v>
      </c>
      <c r="B29" s="175" t="s">
        <v>501</v>
      </c>
      <c r="C29" s="176">
        <v>5</v>
      </c>
      <c r="D29" s="176">
        <v>5</v>
      </c>
    </row>
    <row r="30" spans="1:4" ht="50.25" customHeight="1" thickBot="1" x14ac:dyDescent="0.3">
      <c r="A30" s="174" t="s">
        <v>502</v>
      </c>
      <c r="B30" s="175" t="s">
        <v>503</v>
      </c>
      <c r="C30" s="176">
        <v>10.5</v>
      </c>
      <c r="D30" s="176">
        <v>10.5</v>
      </c>
    </row>
    <row r="31" spans="1:4" ht="47.25" customHeight="1" thickBot="1" x14ac:dyDescent="0.3">
      <c r="A31" s="174" t="s">
        <v>504</v>
      </c>
      <c r="B31" s="175" t="s">
        <v>505</v>
      </c>
      <c r="C31" s="176">
        <v>5</v>
      </c>
      <c r="D31" s="176">
        <v>5</v>
      </c>
    </row>
    <row r="32" spans="1:4" ht="25.5" customHeight="1" thickBot="1" x14ac:dyDescent="0.3">
      <c r="A32" s="177" t="s">
        <v>506</v>
      </c>
      <c r="B32" s="175" t="s">
        <v>485</v>
      </c>
      <c r="C32" s="176">
        <v>5</v>
      </c>
      <c r="D32" s="176">
        <v>5</v>
      </c>
    </row>
    <row r="33" spans="1:4" ht="20.25" customHeight="1" thickBot="1" x14ac:dyDescent="0.3">
      <c r="A33" s="177"/>
      <c r="B33" s="175" t="s">
        <v>486</v>
      </c>
      <c r="C33" s="176">
        <v>5</v>
      </c>
      <c r="D33" s="176">
        <v>5</v>
      </c>
    </row>
    <row r="34" spans="1:4" ht="15.75" customHeight="1" thickBot="1" x14ac:dyDescent="0.3">
      <c r="A34" s="177"/>
      <c r="B34" s="175" t="s">
        <v>487</v>
      </c>
      <c r="C34" s="178"/>
      <c r="D34" s="178"/>
    </row>
    <row r="35" spans="1:4" ht="19.5" customHeight="1" thickBot="1" x14ac:dyDescent="0.3">
      <c r="A35" s="177" t="s">
        <v>507</v>
      </c>
      <c r="B35" s="175" t="s">
        <v>489</v>
      </c>
      <c r="C35" s="176"/>
      <c r="D35" s="176"/>
    </row>
    <row r="36" spans="1:4" ht="18" customHeight="1" thickBot="1" x14ac:dyDescent="0.3">
      <c r="A36" s="177"/>
      <c r="B36" s="175" t="s">
        <v>486</v>
      </c>
      <c r="C36" s="176"/>
      <c r="D36" s="176"/>
    </row>
    <row r="37" spans="1:4" ht="16.5" customHeight="1" thickBot="1" x14ac:dyDescent="0.3">
      <c r="A37" s="177"/>
      <c r="B37" s="175" t="s">
        <v>490</v>
      </c>
      <c r="C37" s="176"/>
      <c r="D37" s="176"/>
    </row>
    <row r="38" spans="1:4" ht="17.25" customHeight="1" thickBot="1" x14ac:dyDescent="0.3">
      <c r="A38" s="177"/>
      <c r="B38" s="175" t="s">
        <v>491</v>
      </c>
      <c r="C38" s="178"/>
      <c r="D38" s="178"/>
    </row>
    <row r="39" spans="1:4" ht="54" customHeight="1" thickBot="1" x14ac:dyDescent="0.3">
      <c r="A39" s="174" t="s">
        <v>508</v>
      </c>
      <c r="B39" s="175" t="s">
        <v>493</v>
      </c>
      <c r="C39" s="176"/>
      <c r="D39" s="176"/>
    </row>
    <row r="40" spans="1:4" ht="69.75" customHeight="1" thickBot="1" x14ac:dyDescent="0.3">
      <c r="A40" s="174" t="s">
        <v>509</v>
      </c>
      <c r="B40" s="175" t="s">
        <v>510</v>
      </c>
      <c r="C40" s="176"/>
      <c r="D40" s="176"/>
    </row>
    <row r="41" spans="1:4" ht="19.5" customHeight="1" thickBot="1" x14ac:dyDescent="0.3">
      <c r="A41" s="174"/>
      <c r="B41" s="175" t="s">
        <v>496</v>
      </c>
      <c r="C41" s="178"/>
      <c r="D41" s="178"/>
    </row>
    <row r="42" spans="1:4" ht="18.75" customHeight="1" thickBot="1" x14ac:dyDescent="0.3">
      <c r="A42" s="174"/>
      <c r="B42" s="175" t="s">
        <v>497</v>
      </c>
      <c r="C42" s="178"/>
      <c r="D42" s="176"/>
    </row>
    <row r="43" spans="1:4" ht="19.5" customHeight="1" thickBot="1" x14ac:dyDescent="0.3">
      <c r="A43" s="174"/>
      <c r="B43" s="175" t="s">
        <v>498</v>
      </c>
      <c r="C43" s="178"/>
      <c r="D43" s="176"/>
    </row>
    <row r="44" spans="1:4" ht="54" customHeight="1" thickBot="1" x14ac:dyDescent="0.3">
      <c r="A44" s="174" t="s">
        <v>511</v>
      </c>
      <c r="B44" s="175" t="s">
        <v>512</v>
      </c>
      <c r="C44" s="176">
        <v>826.3</v>
      </c>
      <c r="D44" s="176">
        <v>826.3</v>
      </c>
    </row>
  </sheetData>
  <mergeCells count="5">
    <mergeCell ref="C2:D2"/>
    <mergeCell ref="C4:D4"/>
    <mergeCell ref="C5:D5"/>
    <mergeCell ref="C6:D6"/>
    <mergeCell ref="B8:D8"/>
  </mergeCells>
  <pageMargins left="0.7" right="0.7" top="0.75" bottom="0.75" header="0.3" footer="0.3"/>
  <pageSetup paperSize="9" scale="83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H15" sqref="H15"/>
    </sheetView>
  </sheetViews>
  <sheetFormatPr defaultRowHeight="15" x14ac:dyDescent="0.25"/>
  <cols>
    <col min="5" max="5" width="12.5703125" customWidth="1"/>
  </cols>
  <sheetData>
    <row r="1" spans="1:11" x14ac:dyDescent="0.25">
      <c r="I1" s="153" t="s">
        <v>521</v>
      </c>
    </row>
    <row r="2" spans="1:11" x14ac:dyDescent="0.25">
      <c r="I2" s="153" t="s">
        <v>461</v>
      </c>
    </row>
    <row r="3" spans="1:11" x14ac:dyDescent="0.25">
      <c r="I3" s="153" t="s">
        <v>316</v>
      </c>
    </row>
    <row r="4" spans="1:11" x14ac:dyDescent="0.25">
      <c r="I4" s="154" t="s">
        <v>579</v>
      </c>
    </row>
    <row r="6" spans="1:11" x14ac:dyDescent="0.25">
      <c r="A6" s="467" t="s">
        <v>462</v>
      </c>
      <c r="B6" s="467"/>
      <c r="C6" s="467"/>
      <c r="D6" s="467"/>
      <c r="E6" s="467"/>
      <c r="F6" s="467"/>
      <c r="G6" s="467"/>
      <c r="H6" s="467"/>
      <c r="I6" s="467"/>
      <c r="J6" s="467"/>
    </row>
    <row r="7" spans="1:11" x14ac:dyDescent="0.25">
      <c r="A7" s="467" t="s">
        <v>473</v>
      </c>
      <c r="B7" s="467"/>
      <c r="C7" s="467"/>
      <c r="D7" s="467"/>
      <c r="E7" s="467"/>
      <c r="F7" s="467"/>
      <c r="G7" s="467"/>
      <c r="H7" s="467"/>
      <c r="I7" s="467"/>
      <c r="J7" s="467"/>
    </row>
    <row r="8" spans="1:11" x14ac:dyDescent="0.25">
      <c r="A8" s="467" t="s">
        <v>463</v>
      </c>
      <c r="B8" s="467"/>
      <c r="C8" s="467"/>
      <c r="D8" s="467"/>
      <c r="E8" s="467"/>
      <c r="F8" s="467"/>
      <c r="G8" s="467"/>
      <c r="H8" s="467"/>
      <c r="I8" s="467"/>
      <c r="J8" s="467"/>
    </row>
    <row r="9" spans="1:11" x14ac:dyDescent="0.25">
      <c r="A9" s="155"/>
      <c r="B9" s="155"/>
      <c r="C9" s="155"/>
      <c r="D9" s="155"/>
      <c r="E9" s="155"/>
      <c r="F9" s="155"/>
      <c r="G9" s="155"/>
      <c r="H9" s="155"/>
    </row>
    <row r="10" spans="1:11" x14ac:dyDescent="0.25">
      <c r="A10" s="155"/>
      <c r="B10" s="155"/>
      <c r="C10" s="155"/>
      <c r="D10" s="155"/>
      <c r="E10" s="155"/>
      <c r="F10" s="155"/>
      <c r="G10" s="155"/>
      <c r="H10" s="155"/>
    </row>
    <row r="11" spans="1:11" x14ac:dyDescent="0.25">
      <c r="A11" s="155"/>
      <c r="B11" s="155"/>
      <c r="C11" s="155"/>
      <c r="D11" s="155"/>
      <c r="E11" s="155"/>
      <c r="F11" s="155"/>
      <c r="G11" s="155"/>
      <c r="H11" s="155"/>
      <c r="J11" s="166" t="s">
        <v>456</v>
      </c>
      <c r="K11" s="166"/>
    </row>
    <row r="12" spans="1:11" ht="23.25" customHeight="1" x14ac:dyDescent="0.25">
      <c r="A12" s="468" t="s">
        <v>85</v>
      </c>
      <c r="B12" s="468" t="s">
        <v>464</v>
      </c>
      <c r="C12" s="464" t="s">
        <v>465</v>
      </c>
      <c r="D12" s="466"/>
      <c r="E12" s="466"/>
      <c r="F12" s="466"/>
      <c r="G12" s="465"/>
      <c r="H12" s="464" t="s">
        <v>466</v>
      </c>
      <c r="I12" s="466"/>
      <c r="J12" s="465"/>
      <c r="K12" s="156"/>
    </row>
    <row r="13" spans="1:11" ht="25.5" x14ac:dyDescent="0.25">
      <c r="A13" s="469"/>
      <c r="B13" s="469"/>
      <c r="C13" s="157" t="s">
        <v>467</v>
      </c>
      <c r="D13" s="157" t="s">
        <v>468</v>
      </c>
      <c r="E13" s="157" t="s">
        <v>469</v>
      </c>
      <c r="F13" s="157" t="s">
        <v>470</v>
      </c>
      <c r="G13" s="157" t="s">
        <v>66</v>
      </c>
      <c r="H13" s="157" t="s">
        <v>382</v>
      </c>
      <c r="I13" s="157" t="s">
        <v>384</v>
      </c>
      <c r="J13" s="157" t="s">
        <v>580</v>
      </c>
      <c r="K13" s="156"/>
    </row>
    <row r="14" spans="1:11" x14ac:dyDescent="0.25">
      <c r="A14" s="464" t="s">
        <v>471</v>
      </c>
      <c r="B14" s="465"/>
      <c r="C14" s="464"/>
      <c r="D14" s="466"/>
      <c r="E14" s="466"/>
      <c r="F14" s="465"/>
      <c r="G14" s="158"/>
      <c r="H14" s="159">
        <f>H15</f>
        <v>447</v>
      </c>
      <c r="I14" s="159">
        <f t="shared" ref="I14:J14" si="0">I15</f>
        <v>447</v>
      </c>
      <c r="J14" s="159">
        <f t="shared" si="0"/>
        <v>447</v>
      </c>
      <c r="K14" s="156"/>
    </row>
    <row r="15" spans="1:11" ht="90" x14ac:dyDescent="0.25">
      <c r="A15" s="160">
        <v>1</v>
      </c>
      <c r="B15" s="161" t="s">
        <v>472</v>
      </c>
      <c r="C15" s="162">
        <v>10</v>
      </c>
      <c r="D15" s="162">
        <v>1</v>
      </c>
      <c r="E15" s="163" t="s">
        <v>638</v>
      </c>
      <c r="F15" s="164">
        <v>310</v>
      </c>
      <c r="G15" s="164">
        <v>263</v>
      </c>
      <c r="H15" s="165">
        <v>447</v>
      </c>
      <c r="I15" s="165">
        <v>447</v>
      </c>
      <c r="J15" s="165">
        <v>447</v>
      </c>
      <c r="K15" s="92"/>
    </row>
  </sheetData>
  <mergeCells count="9">
    <mergeCell ref="A14:B14"/>
    <mergeCell ref="C14:F14"/>
    <mergeCell ref="A6:J6"/>
    <mergeCell ref="A7:J7"/>
    <mergeCell ref="A8:J8"/>
    <mergeCell ref="A12:A13"/>
    <mergeCell ref="B12:B13"/>
    <mergeCell ref="C12:G12"/>
    <mergeCell ref="H12:J12"/>
  </mergeCells>
  <pageMargins left="0.7" right="0.7" top="0.75" bottom="0.75" header="0.3" footer="0.3"/>
  <pageSetup paperSize="9" scale="84" fitToHeight="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48" sqref="A48"/>
    </sheetView>
  </sheetViews>
  <sheetFormatPr defaultRowHeight="15" x14ac:dyDescent="0.25"/>
  <cols>
    <col min="1" max="1" width="102.7109375" customWidth="1"/>
  </cols>
  <sheetData>
    <row r="1" spans="1:1" ht="60" x14ac:dyDescent="0.25">
      <c r="A1" s="182" t="s">
        <v>583</v>
      </c>
    </row>
    <row r="2" spans="1:1" x14ac:dyDescent="0.25">
      <c r="A2" s="183"/>
    </row>
    <row r="3" spans="1:1" x14ac:dyDescent="0.25">
      <c r="A3" s="184"/>
    </row>
    <row r="4" spans="1:1" x14ac:dyDescent="0.25">
      <c r="A4" s="184"/>
    </row>
    <row r="5" spans="1:1" x14ac:dyDescent="0.25">
      <c r="A5" s="184"/>
    </row>
    <row r="6" spans="1:1" ht="28.5" x14ac:dyDescent="0.25">
      <c r="A6" s="185" t="s">
        <v>522</v>
      </c>
    </row>
    <row r="7" spans="1:1" x14ac:dyDescent="0.25">
      <c r="A7" s="184"/>
    </row>
    <row r="8" spans="1:1" ht="30" x14ac:dyDescent="0.25">
      <c r="A8" s="186" t="s">
        <v>523</v>
      </c>
    </row>
    <row r="9" spans="1:1" ht="45" x14ac:dyDescent="0.25">
      <c r="A9" s="186" t="s">
        <v>524</v>
      </c>
    </row>
    <row r="10" spans="1:1" x14ac:dyDescent="0.25">
      <c r="A10" s="186" t="s">
        <v>525</v>
      </c>
    </row>
    <row r="11" spans="1:1" ht="45" x14ac:dyDescent="0.25">
      <c r="A11" s="186" t="s">
        <v>526</v>
      </c>
    </row>
    <row r="12" spans="1:1" ht="30" x14ac:dyDescent="0.25">
      <c r="A12" s="186" t="s">
        <v>527</v>
      </c>
    </row>
    <row r="13" spans="1:1" ht="30" x14ac:dyDescent="0.25">
      <c r="A13" s="186" t="s">
        <v>528</v>
      </c>
    </row>
    <row r="14" spans="1:1" ht="45" x14ac:dyDescent="0.25">
      <c r="A14" s="186" t="s">
        <v>529</v>
      </c>
    </row>
    <row r="15" spans="1:1" x14ac:dyDescent="0.25">
      <c r="A15" s="186" t="s">
        <v>530</v>
      </c>
    </row>
    <row r="16" spans="1:1" ht="30" x14ac:dyDescent="0.25">
      <c r="A16" s="186" t="s">
        <v>531</v>
      </c>
    </row>
    <row r="17" spans="1:1" x14ac:dyDescent="0.25">
      <c r="A17" s="186" t="s">
        <v>532</v>
      </c>
    </row>
    <row r="18" spans="1:1" ht="90" x14ac:dyDescent="0.25">
      <c r="A18" s="186" t="s">
        <v>533</v>
      </c>
    </row>
    <row r="19" spans="1:1" x14ac:dyDescent="0.25">
      <c r="A19" s="186" t="s">
        <v>534</v>
      </c>
    </row>
    <row r="20" spans="1:1" ht="30" x14ac:dyDescent="0.25">
      <c r="A20" s="186" t="s">
        <v>535</v>
      </c>
    </row>
    <row r="21" spans="1:1" ht="30" x14ac:dyDescent="0.25">
      <c r="A21" s="186" t="s">
        <v>536</v>
      </c>
    </row>
    <row r="22" spans="1:1" ht="30" x14ac:dyDescent="0.25">
      <c r="A22" s="186" t="s">
        <v>537</v>
      </c>
    </row>
    <row r="23" spans="1:1" x14ac:dyDescent="0.25">
      <c r="A23" s="186" t="s">
        <v>538</v>
      </c>
    </row>
    <row r="24" spans="1:1" x14ac:dyDescent="0.25">
      <c r="A24" s="187" t="s">
        <v>539</v>
      </c>
    </row>
    <row r="25" spans="1:1" ht="30" x14ac:dyDescent="0.25">
      <c r="A25" s="187" t="s">
        <v>540</v>
      </c>
    </row>
    <row r="26" spans="1:1" ht="30" x14ac:dyDescent="0.25">
      <c r="A26" s="187" t="s">
        <v>541</v>
      </c>
    </row>
    <row r="27" spans="1:1" ht="30" x14ac:dyDescent="0.25">
      <c r="A27" s="187" t="s">
        <v>542</v>
      </c>
    </row>
    <row r="28" spans="1:1" ht="30" x14ac:dyDescent="0.25">
      <c r="A28" s="187" t="s">
        <v>543</v>
      </c>
    </row>
    <row r="29" spans="1:1" x14ac:dyDescent="0.25">
      <c r="A29" s="188" t="s">
        <v>544</v>
      </c>
    </row>
    <row r="30" spans="1:1" ht="30" x14ac:dyDescent="0.25">
      <c r="A30" s="187" t="s">
        <v>545</v>
      </c>
    </row>
    <row r="31" spans="1:1" ht="45" x14ac:dyDescent="0.25">
      <c r="A31" s="186" t="s">
        <v>546</v>
      </c>
    </row>
    <row r="32" spans="1:1" ht="60" x14ac:dyDescent="0.25">
      <c r="A32" s="189" t="s">
        <v>547</v>
      </c>
    </row>
    <row r="33" spans="1:1" ht="63" x14ac:dyDescent="0.25">
      <c r="A33" s="186" t="s">
        <v>548</v>
      </c>
    </row>
    <row r="34" spans="1:1" ht="110.25" x14ac:dyDescent="0.25">
      <c r="A34" s="190" t="s">
        <v>549</v>
      </c>
    </row>
    <row r="35" spans="1:1" ht="15.75" x14ac:dyDescent="0.25">
      <c r="A35" s="190" t="s">
        <v>550</v>
      </c>
    </row>
    <row r="36" spans="1:1" ht="15.75" x14ac:dyDescent="0.25">
      <c r="A36" s="191" t="s">
        <v>551</v>
      </c>
    </row>
    <row r="37" spans="1:1" ht="15.75" x14ac:dyDescent="0.25">
      <c r="A37" s="190" t="s">
        <v>552</v>
      </c>
    </row>
    <row r="38" spans="1:1" ht="31.5" x14ac:dyDescent="0.25">
      <c r="A38" s="190" t="s">
        <v>553</v>
      </c>
    </row>
    <row r="39" spans="1:1" ht="15.75" x14ac:dyDescent="0.25">
      <c r="A39" s="190" t="s">
        <v>554</v>
      </c>
    </row>
    <row r="40" spans="1:1" ht="15.75" x14ac:dyDescent="0.25">
      <c r="A40" s="192"/>
    </row>
  </sheetData>
  <hyperlinks>
    <hyperlink ref="A32" r:id="rId1" display="https://orenstat.gks.ru/"/>
  </hyperlinks>
  <pageMargins left="0.7" right="0.7" top="0.75" bottom="0.75" header="0.3" footer="0.3"/>
  <pageSetup paperSize="9" orientation="portrait" horizontalDpi="0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SheetLayoutView="100" workbookViewId="0">
      <selection activeCell="G14" sqref="G14"/>
    </sheetView>
  </sheetViews>
  <sheetFormatPr defaultRowHeight="12.75" x14ac:dyDescent="0.2"/>
  <cols>
    <col min="1" max="1" width="5.140625" style="1" customWidth="1"/>
    <col min="2" max="2" width="11.28515625" style="1" customWidth="1"/>
    <col min="3" max="3" width="9.140625" style="1" customWidth="1"/>
    <col min="4" max="4" width="9.140625" style="1"/>
    <col min="5" max="7" width="13.140625" style="1" customWidth="1"/>
    <col min="8" max="10" width="12.28515625" style="1" customWidth="1"/>
    <col min="11" max="11" width="31.42578125" style="1" customWidth="1"/>
    <col min="12" max="257" width="9.140625" style="1"/>
    <col min="258" max="258" width="11.28515625" style="1" customWidth="1"/>
    <col min="259" max="259" width="9.140625" style="1" customWidth="1"/>
    <col min="260" max="260" width="9.140625" style="1"/>
    <col min="261" max="263" width="13.140625" style="1" customWidth="1"/>
    <col min="264" max="266" width="12.28515625" style="1" customWidth="1"/>
    <col min="267" max="267" width="31.42578125" style="1" customWidth="1"/>
    <col min="268" max="513" width="9.140625" style="1"/>
    <col min="514" max="514" width="11.28515625" style="1" customWidth="1"/>
    <col min="515" max="515" width="9.140625" style="1" customWidth="1"/>
    <col min="516" max="516" width="9.140625" style="1"/>
    <col min="517" max="519" width="13.140625" style="1" customWidth="1"/>
    <col min="520" max="522" width="12.28515625" style="1" customWidth="1"/>
    <col min="523" max="523" width="31.42578125" style="1" customWidth="1"/>
    <col min="524" max="769" width="9.140625" style="1"/>
    <col min="770" max="770" width="11.28515625" style="1" customWidth="1"/>
    <col min="771" max="771" width="9.140625" style="1" customWidth="1"/>
    <col min="772" max="772" width="9.140625" style="1"/>
    <col min="773" max="775" width="13.140625" style="1" customWidth="1"/>
    <col min="776" max="778" width="12.28515625" style="1" customWidth="1"/>
    <col min="779" max="779" width="31.42578125" style="1" customWidth="1"/>
    <col min="780" max="1025" width="9.140625" style="1"/>
    <col min="1026" max="1026" width="11.28515625" style="1" customWidth="1"/>
    <col min="1027" max="1027" width="9.140625" style="1" customWidth="1"/>
    <col min="1028" max="1028" width="9.140625" style="1"/>
    <col min="1029" max="1031" width="13.140625" style="1" customWidth="1"/>
    <col min="1032" max="1034" width="12.28515625" style="1" customWidth="1"/>
    <col min="1035" max="1035" width="31.42578125" style="1" customWidth="1"/>
    <col min="1036" max="1281" width="9.140625" style="1"/>
    <col min="1282" max="1282" width="11.28515625" style="1" customWidth="1"/>
    <col min="1283" max="1283" width="9.140625" style="1" customWidth="1"/>
    <col min="1284" max="1284" width="9.140625" style="1"/>
    <col min="1285" max="1287" width="13.140625" style="1" customWidth="1"/>
    <col min="1288" max="1290" width="12.28515625" style="1" customWidth="1"/>
    <col min="1291" max="1291" width="31.42578125" style="1" customWidth="1"/>
    <col min="1292" max="1537" width="9.140625" style="1"/>
    <col min="1538" max="1538" width="11.28515625" style="1" customWidth="1"/>
    <col min="1539" max="1539" width="9.140625" style="1" customWidth="1"/>
    <col min="1540" max="1540" width="9.140625" style="1"/>
    <col min="1541" max="1543" width="13.140625" style="1" customWidth="1"/>
    <col min="1544" max="1546" width="12.28515625" style="1" customWidth="1"/>
    <col min="1547" max="1547" width="31.42578125" style="1" customWidth="1"/>
    <col min="1548" max="1793" width="9.140625" style="1"/>
    <col min="1794" max="1794" width="11.28515625" style="1" customWidth="1"/>
    <col min="1795" max="1795" width="9.140625" style="1" customWidth="1"/>
    <col min="1796" max="1796" width="9.140625" style="1"/>
    <col min="1797" max="1799" width="13.140625" style="1" customWidth="1"/>
    <col min="1800" max="1802" width="12.28515625" style="1" customWidth="1"/>
    <col min="1803" max="1803" width="31.42578125" style="1" customWidth="1"/>
    <col min="1804" max="2049" width="9.140625" style="1"/>
    <col min="2050" max="2050" width="11.28515625" style="1" customWidth="1"/>
    <col min="2051" max="2051" width="9.140625" style="1" customWidth="1"/>
    <col min="2052" max="2052" width="9.140625" style="1"/>
    <col min="2053" max="2055" width="13.140625" style="1" customWidth="1"/>
    <col min="2056" max="2058" width="12.28515625" style="1" customWidth="1"/>
    <col min="2059" max="2059" width="31.42578125" style="1" customWidth="1"/>
    <col min="2060" max="2305" width="9.140625" style="1"/>
    <col min="2306" max="2306" width="11.28515625" style="1" customWidth="1"/>
    <col min="2307" max="2307" width="9.140625" style="1" customWidth="1"/>
    <col min="2308" max="2308" width="9.140625" style="1"/>
    <col min="2309" max="2311" width="13.140625" style="1" customWidth="1"/>
    <col min="2312" max="2314" width="12.28515625" style="1" customWidth="1"/>
    <col min="2315" max="2315" width="31.42578125" style="1" customWidth="1"/>
    <col min="2316" max="2561" width="9.140625" style="1"/>
    <col min="2562" max="2562" width="11.28515625" style="1" customWidth="1"/>
    <col min="2563" max="2563" width="9.140625" style="1" customWidth="1"/>
    <col min="2564" max="2564" width="9.140625" style="1"/>
    <col min="2565" max="2567" width="13.140625" style="1" customWidth="1"/>
    <col min="2568" max="2570" width="12.28515625" style="1" customWidth="1"/>
    <col min="2571" max="2571" width="31.42578125" style="1" customWidth="1"/>
    <col min="2572" max="2817" width="9.140625" style="1"/>
    <col min="2818" max="2818" width="11.28515625" style="1" customWidth="1"/>
    <col min="2819" max="2819" width="9.140625" style="1" customWidth="1"/>
    <col min="2820" max="2820" width="9.140625" style="1"/>
    <col min="2821" max="2823" width="13.140625" style="1" customWidth="1"/>
    <col min="2824" max="2826" width="12.28515625" style="1" customWidth="1"/>
    <col min="2827" max="2827" width="31.42578125" style="1" customWidth="1"/>
    <col min="2828" max="3073" width="9.140625" style="1"/>
    <col min="3074" max="3074" width="11.28515625" style="1" customWidth="1"/>
    <col min="3075" max="3075" width="9.140625" style="1" customWidth="1"/>
    <col min="3076" max="3076" width="9.140625" style="1"/>
    <col min="3077" max="3079" width="13.140625" style="1" customWidth="1"/>
    <col min="3080" max="3082" width="12.28515625" style="1" customWidth="1"/>
    <col min="3083" max="3083" width="31.42578125" style="1" customWidth="1"/>
    <col min="3084" max="3329" width="9.140625" style="1"/>
    <col min="3330" max="3330" width="11.28515625" style="1" customWidth="1"/>
    <col min="3331" max="3331" width="9.140625" style="1" customWidth="1"/>
    <col min="3332" max="3332" width="9.140625" style="1"/>
    <col min="3333" max="3335" width="13.140625" style="1" customWidth="1"/>
    <col min="3336" max="3338" width="12.28515625" style="1" customWidth="1"/>
    <col min="3339" max="3339" width="31.42578125" style="1" customWidth="1"/>
    <col min="3340" max="3585" width="9.140625" style="1"/>
    <col min="3586" max="3586" width="11.28515625" style="1" customWidth="1"/>
    <col min="3587" max="3587" width="9.140625" style="1" customWidth="1"/>
    <col min="3588" max="3588" width="9.140625" style="1"/>
    <col min="3589" max="3591" width="13.140625" style="1" customWidth="1"/>
    <col min="3592" max="3594" width="12.28515625" style="1" customWidth="1"/>
    <col min="3595" max="3595" width="31.42578125" style="1" customWidth="1"/>
    <col min="3596" max="3841" width="9.140625" style="1"/>
    <col min="3842" max="3842" width="11.28515625" style="1" customWidth="1"/>
    <col min="3843" max="3843" width="9.140625" style="1" customWidth="1"/>
    <col min="3844" max="3844" width="9.140625" style="1"/>
    <col min="3845" max="3847" width="13.140625" style="1" customWidth="1"/>
    <col min="3848" max="3850" width="12.28515625" style="1" customWidth="1"/>
    <col min="3851" max="3851" width="31.42578125" style="1" customWidth="1"/>
    <col min="3852" max="4097" width="9.140625" style="1"/>
    <col min="4098" max="4098" width="11.28515625" style="1" customWidth="1"/>
    <col min="4099" max="4099" width="9.140625" style="1" customWidth="1"/>
    <col min="4100" max="4100" width="9.140625" style="1"/>
    <col min="4101" max="4103" width="13.140625" style="1" customWidth="1"/>
    <col min="4104" max="4106" width="12.28515625" style="1" customWidth="1"/>
    <col min="4107" max="4107" width="31.42578125" style="1" customWidth="1"/>
    <col min="4108" max="4353" width="9.140625" style="1"/>
    <col min="4354" max="4354" width="11.28515625" style="1" customWidth="1"/>
    <col min="4355" max="4355" width="9.140625" style="1" customWidth="1"/>
    <col min="4356" max="4356" width="9.140625" style="1"/>
    <col min="4357" max="4359" width="13.140625" style="1" customWidth="1"/>
    <col min="4360" max="4362" width="12.28515625" style="1" customWidth="1"/>
    <col min="4363" max="4363" width="31.42578125" style="1" customWidth="1"/>
    <col min="4364" max="4609" width="9.140625" style="1"/>
    <col min="4610" max="4610" width="11.28515625" style="1" customWidth="1"/>
    <col min="4611" max="4611" width="9.140625" style="1" customWidth="1"/>
    <col min="4612" max="4612" width="9.140625" style="1"/>
    <col min="4613" max="4615" width="13.140625" style="1" customWidth="1"/>
    <col min="4616" max="4618" width="12.28515625" style="1" customWidth="1"/>
    <col min="4619" max="4619" width="31.42578125" style="1" customWidth="1"/>
    <col min="4620" max="4865" width="9.140625" style="1"/>
    <col min="4866" max="4866" width="11.28515625" style="1" customWidth="1"/>
    <col min="4867" max="4867" width="9.140625" style="1" customWidth="1"/>
    <col min="4868" max="4868" width="9.140625" style="1"/>
    <col min="4869" max="4871" width="13.140625" style="1" customWidth="1"/>
    <col min="4872" max="4874" width="12.28515625" style="1" customWidth="1"/>
    <col min="4875" max="4875" width="31.42578125" style="1" customWidth="1"/>
    <col min="4876" max="5121" width="9.140625" style="1"/>
    <col min="5122" max="5122" width="11.28515625" style="1" customWidth="1"/>
    <col min="5123" max="5123" width="9.140625" style="1" customWidth="1"/>
    <col min="5124" max="5124" width="9.140625" style="1"/>
    <col min="5125" max="5127" width="13.140625" style="1" customWidth="1"/>
    <col min="5128" max="5130" width="12.28515625" style="1" customWidth="1"/>
    <col min="5131" max="5131" width="31.42578125" style="1" customWidth="1"/>
    <col min="5132" max="5377" width="9.140625" style="1"/>
    <col min="5378" max="5378" width="11.28515625" style="1" customWidth="1"/>
    <col min="5379" max="5379" width="9.140625" style="1" customWidth="1"/>
    <col min="5380" max="5380" width="9.140625" style="1"/>
    <col min="5381" max="5383" width="13.140625" style="1" customWidth="1"/>
    <col min="5384" max="5386" width="12.28515625" style="1" customWidth="1"/>
    <col min="5387" max="5387" width="31.42578125" style="1" customWidth="1"/>
    <col min="5388" max="5633" width="9.140625" style="1"/>
    <col min="5634" max="5634" width="11.28515625" style="1" customWidth="1"/>
    <col min="5635" max="5635" width="9.140625" style="1" customWidth="1"/>
    <col min="5636" max="5636" width="9.140625" style="1"/>
    <col min="5637" max="5639" width="13.140625" style="1" customWidth="1"/>
    <col min="5640" max="5642" width="12.28515625" style="1" customWidth="1"/>
    <col min="5643" max="5643" width="31.42578125" style="1" customWidth="1"/>
    <col min="5644" max="5889" width="9.140625" style="1"/>
    <col min="5890" max="5890" width="11.28515625" style="1" customWidth="1"/>
    <col min="5891" max="5891" width="9.140625" style="1" customWidth="1"/>
    <col min="5892" max="5892" width="9.140625" style="1"/>
    <col min="5893" max="5895" width="13.140625" style="1" customWidth="1"/>
    <col min="5896" max="5898" width="12.28515625" style="1" customWidth="1"/>
    <col min="5899" max="5899" width="31.42578125" style="1" customWidth="1"/>
    <col min="5900" max="6145" width="9.140625" style="1"/>
    <col min="6146" max="6146" width="11.28515625" style="1" customWidth="1"/>
    <col min="6147" max="6147" width="9.140625" style="1" customWidth="1"/>
    <col min="6148" max="6148" width="9.140625" style="1"/>
    <col min="6149" max="6151" width="13.140625" style="1" customWidth="1"/>
    <col min="6152" max="6154" width="12.28515625" style="1" customWidth="1"/>
    <col min="6155" max="6155" width="31.42578125" style="1" customWidth="1"/>
    <col min="6156" max="6401" width="9.140625" style="1"/>
    <col min="6402" max="6402" width="11.28515625" style="1" customWidth="1"/>
    <col min="6403" max="6403" width="9.140625" style="1" customWidth="1"/>
    <col min="6404" max="6404" width="9.140625" style="1"/>
    <col min="6405" max="6407" width="13.140625" style="1" customWidth="1"/>
    <col min="6408" max="6410" width="12.28515625" style="1" customWidth="1"/>
    <col min="6411" max="6411" width="31.42578125" style="1" customWidth="1"/>
    <col min="6412" max="6657" width="9.140625" style="1"/>
    <col min="6658" max="6658" width="11.28515625" style="1" customWidth="1"/>
    <col min="6659" max="6659" width="9.140625" style="1" customWidth="1"/>
    <col min="6660" max="6660" width="9.140625" style="1"/>
    <col min="6661" max="6663" width="13.140625" style="1" customWidth="1"/>
    <col min="6664" max="6666" width="12.28515625" style="1" customWidth="1"/>
    <col min="6667" max="6667" width="31.42578125" style="1" customWidth="1"/>
    <col min="6668" max="6913" width="9.140625" style="1"/>
    <col min="6914" max="6914" width="11.28515625" style="1" customWidth="1"/>
    <col min="6915" max="6915" width="9.140625" style="1" customWidth="1"/>
    <col min="6916" max="6916" width="9.140625" style="1"/>
    <col min="6917" max="6919" width="13.140625" style="1" customWidth="1"/>
    <col min="6920" max="6922" width="12.28515625" style="1" customWidth="1"/>
    <col min="6923" max="6923" width="31.42578125" style="1" customWidth="1"/>
    <col min="6924" max="7169" width="9.140625" style="1"/>
    <col min="7170" max="7170" width="11.28515625" style="1" customWidth="1"/>
    <col min="7171" max="7171" width="9.140625" style="1" customWidth="1"/>
    <col min="7172" max="7172" width="9.140625" style="1"/>
    <col min="7173" max="7175" width="13.140625" style="1" customWidth="1"/>
    <col min="7176" max="7178" width="12.28515625" style="1" customWidth="1"/>
    <col min="7179" max="7179" width="31.42578125" style="1" customWidth="1"/>
    <col min="7180" max="7425" width="9.140625" style="1"/>
    <col min="7426" max="7426" width="11.28515625" style="1" customWidth="1"/>
    <col min="7427" max="7427" width="9.140625" style="1" customWidth="1"/>
    <col min="7428" max="7428" width="9.140625" style="1"/>
    <col min="7429" max="7431" width="13.140625" style="1" customWidth="1"/>
    <col min="7432" max="7434" width="12.28515625" style="1" customWidth="1"/>
    <col min="7435" max="7435" width="31.42578125" style="1" customWidth="1"/>
    <col min="7436" max="7681" width="9.140625" style="1"/>
    <col min="7682" max="7682" width="11.28515625" style="1" customWidth="1"/>
    <col min="7683" max="7683" width="9.140625" style="1" customWidth="1"/>
    <col min="7684" max="7684" width="9.140625" style="1"/>
    <col min="7685" max="7687" width="13.140625" style="1" customWidth="1"/>
    <col min="7688" max="7690" width="12.28515625" style="1" customWidth="1"/>
    <col min="7691" max="7691" width="31.42578125" style="1" customWidth="1"/>
    <col min="7692" max="7937" width="9.140625" style="1"/>
    <col min="7938" max="7938" width="11.28515625" style="1" customWidth="1"/>
    <col min="7939" max="7939" width="9.140625" style="1" customWidth="1"/>
    <col min="7940" max="7940" width="9.140625" style="1"/>
    <col min="7941" max="7943" width="13.140625" style="1" customWidth="1"/>
    <col min="7944" max="7946" width="12.28515625" style="1" customWidth="1"/>
    <col min="7947" max="7947" width="31.42578125" style="1" customWidth="1"/>
    <col min="7948" max="8193" width="9.140625" style="1"/>
    <col min="8194" max="8194" width="11.28515625" style="1" customWidth="1"/>
    <col min="8195" max="8195" width="9.140625" style="1" customWidth="1"/>
    <col min="8196" max="8196" width="9.140625" style="1"/>
    <col min="8197" max="8199" width="13.140625" style="1" customWidth="1"/>
    <col min="8200" max="8202" width="12.28515625" style="1" customWidth="1"/>
    <col min="8203" max="8203" width="31.42578125" style="1" customWidth="1"/>
    <col min="8204" max="8449" width="9.140625" style="1"/>
    <col min="8450" max="8450" width="11.28515625" style="1" customWidth="1"/>
    <col min="8451" max="8451" width="9.140625" style="1" customWidth="1"/>
    <col min="8452" max="8452" width="9.140625" style="1"/>
    <col min="8453" max="8455" width="13.140625" style="1" customWidth="1"/>
    <col min="8456" max="8458" width="12.28515625" style="1" customWidth="1"/>
    <col min="8459" max="8459" width="31.42578125" style="1" customWidth="1"/>
    <col min="8460" max="8705" width="9.140625" style="1"/>
    <col min="8706" max="8706" width="11.28515625" style="1" customWidth="1"/>
    <col min="8707" max="8707" width="9.140625" style="1" customWidth="1"/>
    <col min="8708" max="8708" width="9.140625" style="1"/>
    <col min="8709" max="8711" width="13.140625" style="1" customWidth="1"/>
    <col min="8712" max="8714" width="12.28515625" style="1" customWidth="1"/>
    <col min="8715" max="8715" width="31.42578125" style="1" customWidth="1"/>
    <col min="8716" max="8961" width="9.140625" style="1"/>
    <col min="8962" max="8962" width="11.28515625" style="1" customWidth="1"/>
    <col min="8963" max="8963" width="9.140625" style="1" customWidth="1"/>
    <col min="8964" max="8964" width="9.140625" style="1"/>
    <col min="8965" max="8967" width="13.140625" style="1" customWidth="1"/>
    <col min="8968" max="8970" width="12.28515625" style="1" customWidth="1"/>
    <col min="8971" max="8971" width="31.42578125" style="1" customWidth="1"/>
    <col min="8972" max="9217" width="9.140625" style="1"/>
    <col min="9218" max="9218" width="11.28515625" style="1" customWidth="1"/>
    <col min="9219" max="9219" width="9.140625" style="1" customWidth="1"/>
    <col min="9220" max="9220" width="9.140625" style="1"/>
    <col min="9221" max="9223" width="13.140625" style="1" customWidth="1"/>
    <col min="9224" max="9226" width="12.28515625" style="1" customWidth="1"/>
    <col min="9227" max="9227" width="31.42578125" style="1" customWidth="1"/>
    <col min="9228" max="9473" width="9.140625" style="1"/>
    <col min="9474" max="9474" width="11.28515625" style="1" customWidth="1"/>
    <col min="9475" max="9475" width="9.140625" style="1" customWidth="1"/>
    <col min="9476" max="9476" width="9.140625" style="1"/>
    <col min="9477" max="9479" width="13.140625" style="1" customWidth="1"/>
    <col min="9480" max="9482" width="12.28515625" style="1" customWidth="1"/>
    <col min="9483" max="9483" width="31.42578125" style="1" customWidth="1"/>
    <col min="9484" max="9729" width="9.140625" style="1"/>
    <col min="9730" max="9730" width="11.28515625" style="1" customWidth="1"/>
    <col min="9731" max="9731" width="9.140625" style="1" customWidth="1"/>
    <col min="9732" max="9732" width="9.140625" style="1"/>
    <col min="9733" max="9735" width="13.140625" style="1" customWidth="1"/>
    <col min="9736" max="9738" width="12.28515625" style="1" customWidth="1"/>
    <col min="9739" max="9739" width="31.42578125" style="1" customWidth="1"/>
    <col min="9740" max="9985" width="9.140625" style="1"/>
    <col min="9986" max="9986" width="11.28515625" style="1" customWidth="1"/>
    <col min="9987" max="9987" width="9.140625" style="1" customWidth="1"/>
    <col min="9988" max="9988" width="9.140625" style="1"/>
    <col min="9989" max="9991" width="13.140625" style="1" customWidth="1"/>
    <col min="9992" max="9994" width="12.28515625" style="1" customWidth="1"/>
    <col min="9995" max="9995" width="31.42578125" style="1" customWidth="1"/>
    <col min="9996" max="10241" width="9.140625" style="1"/>
    <col min="10242" max="10242" width="11.28515625" style="1" customWidth="1"/>
    <col min="10243" max="10243" width="9.140625" style="1" customWidth="1"/>
    <col min="10244" max="10244" width="9.140625" style="1"/>
    <col min="10245" max="10247" width="13.140625" style="1" customWidth="1"/>
    <col min="10248" max="10250" width="12.28515625" style="1" customWidth="1"/>
    <col min="10251" max="10251" width="31.42578125" style="1" customWidth="1"/>
    <col min="10252" max="10497" width="9.140625" style="1"/>
    <col min="10498" max="10498" width="11.28515625" style="1" customWidth="1"/>
    <col min="10499" max="10499" width="9.140625" style="1" customWidth="1"/>
    <col min="10500" max="10500" width="9.140625" style="1"/>
    <col min="10501" max="10503" width="13.140625" style="1" customWidth="1"/>
    <col min="10504" max="10506" width="12.28515625" style="1" customWidth="1"/>
    <col min="10507" max="10507" width="31.42578125" style="1" customWidth="1"/>
    <col min="10508" max="10753" width="9.140625" style="1"/>
    <col min="10754" max="10754" width="11.28515625" style="1" customWidth="1"/>
    <col min="10755" max="10755" width="9.140625" style="1" customWidth="1"/>
    <col min="10756" max="10756" width="9.140625" style="1"/>
    <col min="10757" max="10759" width="13.140625" style="1" customWidth="1"/>
    <col min="10760" max="10762" width="12.28515625" style="1" customWidth="1"/>
    <col min="10763" max="10763" width="31.42578125" style="1" customWidth="1"/>
    <col min="10764" max="11009" width="9.140625" style="1"/>
    <col min="11010" max="11010" width="11.28515625" style="1" customWidth="1"/>
    <col min="11011" max="11011" width="9.140625" style="1" customWidth="1"/>
    <col min="11012" max="11012" width="9.140625" style="1"/>
    <col min="11013" max="11015" width="13.140625" style="1" customWidth="1"/>
    <col min="11016" max="11018" width="12.28515625" style="1" customWidth="1"/>
    <col min="11019" max="11019" width="31.42578125" style="1" customWidth="1"/>
    <col min="11020" max="11265" width="9.140625" style="1"/>
    <col min="11266" max="11266" width="11.28515625" style="1" customWidth="1"/>
    <col min="11267" max="11267" width="9.140625" style="1" customWidth="1"/>
    <col min="11268" max="11268" width="9.140625" style="1"/>
    <col min="11269" max="11271" width="13.140625" style="1" customWidth="1"/>
    <col min="11272" max="11274" width="12.28515625" style="1" customWidth="1"/>
    <col min="11275" max="11275" width="31.42578125" style="1" customWidth="1"/>
    <col min="11276" max="11521" width="9.140625" style="1"/>
    <col min="11522" max="11522" width="11.28515625" style="1" customWidth="1"/>
    <col min="11523" max="11523" width="9.140625" style="1" customWidth="1"/>
    <col min="11524" max="11524" width="9.140625" style="1"/>
    <col min="11525" max="11527" width="13.140625" style="1" customWidth="1"/>
    <col min="11528" max="11530" width="12.28515625" style="1" customWidth="1"/>
    <col min="11531" max="11531" width="31.42578125" style="1" customWidth="1"/>
    <col min="11532" max="11777" width="9.140625" style="1"/>
    <col min="11778" max="11778" width="11.28515625" style="1" customWidth="1"/>
    <col min="11779" max="11779" width="9.140625" style="1" customWidth="1"/>
    <col min="11780" max="11780" width="9.140625" style="1"/>
    <col min="11781" max="11783" width="13.140625" style="1" customWidth="1"/>
    <col min="11784" max="11786" width="12.28515625" style="1" customWidth="1"/>
    <col min="11787" max="11787" width="31.42578125" style="1" customWidth="1"/>
    <col min="11788" max="12033" width="9.140625" style="1"/>
    <col min="12034" max="12034" width="11.28515625" style="1" customWidth="1"/>
    <col min="12035" max="12035" width="9.140625" style="1" customWidth="1"/>
    <col min="12036" max="12036" width="9.140625" style="1"/>
    <col min="12037" max="12039" width="13.140625" style="1" customWidth="1"/>
    <col min="12040" max="12042" width="12.28515625" style="1" customWidth="1"/>
    <col min="12043" max="12043" width="31.42578125" style="1" customWidth="1"/>
    <col min="12044" max="12289" width="9.140625" style="1"/>
    <col min="12290" max="12290" width="11.28515625" style="1" customWidth="1"/>
    <col min="12291" max="12291" width="9.140625" style="1" customWidth="1"/>
    <col min="12292" max="12292" width="9.140625" style="1"/>
    <col min="12293" max="12295" width="13.140625" style="1" customWidth="1"/>
    <col min="12296" max="12298" width="12.28515625" style="1" customWidth="1"/>
    <col min="12299" max="12299" width="31.42578125" style="1" customWidth="1"/>
    <col min="12300" max="12545" width="9.140625" style="1"/>
    <col min="12546" max="12546" width="11.28515625" style="1" customWidth="1"/>
    <col min="12547" max="12547" width="9.140625" style="1" customWidth="1"/>
    <col min="12548" max="12548" width="9.140625" style="1"/>
    <col min="12549" max="12551" width="13.140625" style="1" customWidth="1"/>
    <col min="12552" max="12554" width="12.28515625" style="1" customWidth="1"/>
    <col min="12555" max="12555" width="31.42578125" style="1" customWidth="1"/>
    <col min="12556" max="12801" width="9.140625" style="1"/>
    <col min="12802" max="12802" width="11.28515625" style="1" customWidth="1"/>
    <col min="12803" max="12803" width="9.140625" style="1" customWidth="1"/>
    <col min="12804" max="12804" width="9.140625" style="1"/>
    <col min="12805" max="12807" width="13.140625" style="1" customWidth="1"/>
    <col min="12808" max="12810" width="12.28515625" style="1" customWidth="1"/>
    <col min="12811" max="12811" width="31.42578125" style="1" customWidth="1"/>
    <col min="12812" max="13057" width="9.140625" style="1"/>
    <col min="13058" max="13058" width="11.28515625" style="1" customWidth="1"/>
    <col min="13059" max="13059" width="9.140625" style="1" customWidth="1"/>
    <col min="13060" max="13060" width="9.140625" style="1"/>
    <col min="13061" max="13063" width="13.140625" style="1" customWidth="1"/>
    <col min="13064" max="13066" width="12.28515625" style="1" customWidth="1"/>
    <col min="13067" max="13067" width="31.42578125" style="1" customWidth="1"/>
    <col min="13068" max="13313" width="9.140625" style="1"/>
    <col min="13314" max="13314" width="11.28515625" style="1" customWidth="1"/>
    <col min="13315" max="13315" width="9.140625" style="1" customWidth="1"/>
    <col min="13316" max="13316" width="9.140625" style="1"/>
    <col min="13317" max="13319" width="13.140625" style="1" customWidth="1"/>
    <col min="13320" max="13322" width="12.28515625" style="1" customWidth="1"/>
    <col min="13323" max="13323" width="31.42578125" style="1" customWidth="1"/>
    <col min="13324" max="13569" width="9.140625" style="1"/>
    <col min="13570" max="13570" width="11.28515625" style="1" customWidth="1"/>
    <col min="13571" max="13571" width="9.140625" style="1" customWidth="1"/>
    <col min="13572" max="13572" width="9.140625" style="1"/>
    <col min="13573" max="13575" width="13.140625" style="1" customWidth="1"/>
    <col min="13576" max="13578" width="12.28515625" style="1" customWidth="1"/>
    <col min="13579" max="13579" width="31.42578125" style="1" customWidth="1"/>
    <col min="13580" max="13825" width="9.140625" style="1"/>
    <col min="13826" max="13826" width="11.28515625" style="1" customWidth="1"/>
    <col min="13827" max="13827" width="9.140625" style="1" customWidth="1"/>
    <col min="13828" max="13828" width="9.140625" style="1"/>
    <col min="13829" max="13831" width="13.140625" style="1" customWidth="1"/>
    <col min="13832" max="13834" width="12.28515625" style="1" customWidth="1"/>
    <col min="13835" max="13835" width="31.42578125" style="1" customWidth="1"/>
    <col min="13836" max="14081" width="9.140625" style="1"/>
    <col min="14082" max="14082" width="11.28515625" style="1" customWidth="1"/>
    <col min="14083" max="14083" width="9.140625" style="1" customWidth="1"/>
    <col min="14084" max="14084" width="9.140625" style="1"/>
    <col min="14085" max="14087" width="13.140625" style="1" customWidth="1"/>
    <col min="14088" max="14090" width="12.28515625" style="1" customWidth="1"/>
    <col min="14091" max="14091" width="31.42578125" style="1" customWidth="1"/>
    <col min="14092" max="14337" width="9.140625" style="1"/>
    <col min="14338" max="14338" width="11.28515625" style="1" customWidth="1"/>
    <col min="14339" max="14339" width="9.140625" style="1" customWidth="1"/>
    <col min="14340" max="14340" width="9.140625" style="1"/>
    <col min="14341" max="14343" width="13.140625" style="1" customWidth="1"/>
    <col min="14344" max="14346" width="12.28515625" style="1" customWidth="1"/>
    <col min="14347" max="14347" width="31.42578125" style="1" customWidth="1"/>
    <col min="14348" max="14593" width="9.140625" style="1"/>
    <col min="14594" max="14594" width="11.28515625" style="1" customWidth="1"/>
    <col min="14595" max="14595" width="9.140625" style="1" customWidth="1"/>
    <col min="14596" max="14596" width="9.140625" style="1"/>
    <col min="14597" max="14599" width="13.140625" style="1" customWidth="1"/>
    <col min="14600" max="14602" width="12.28515625" style="1" customWidth="1"/>
    <col min="14603" max="14603" width="31.42578125" style="1" customWidth="1"/>
    <col min="14604" max="14849" width="9.140625" style="1"/>
    <col min="14850" max="14850" width="11.28515625" style="1" customWidth="1"/>
    <col min="14851" max="14851" width="9.140625" style="1" customWidth="1"/>
    <col min="14852" max="14852" width="9.140625" style="1"/>
    <col min="14853" max="14855" width="13.140625" style="1" customWidth="1"/>
    <col min="14856" max="14858" width="12.28515625" style="1" customWidth="1"/>
    <col min="14859" max="14859" width="31.42578125" style="1" customWidth="1"/>
    <col min="14860" max="15105" width="9.140625" style="1"/>
    <col min="15106" max="15106" width="11.28515625" style="1" customWidth="1"/>
    <col min="15107" max="15107" width="9.140625" style="1" customWidth="1"/>
    <col min="15108" max="15108" width="9.140625" style="1"/>
    <col min="15109" max="15111" width="13.140625" style="1" customWidth="1"/>
    <col min="15112" max="15114" width="12.28515625" style="1" customWidth="1"/>
    <col min="15115" max="15115" width="31.42578125" style="1" customWidth="1"/>
    <col min="15116" max="15361" width="9.140625" style="1"/>
    <col min="15362" max="15362" width="11.28515625" style="1" customWidth="1"/>
    <col min="15363" max="15363" width="9.140625" style="1" customWidth="1"/>
    <col min="15364" max="15364" width="9.140625" style="1"/>
    <col min="15365" max="15367" width="13.140625" style="1" customWidth="1"/>
    <col min="15368" max="15370" width="12.28515625" style="1" customWidth="1"/>
    <col min="15371" max="15371" width="31.42578125" style="1" customWidth="1"/>
    <col min="15372" max="15617" width="9.140625" style="1"/>
    <col min="15618" max="15618" width="11.28515625" style="1" customWidth="1"/>
    <col min="15619" max="15619" width="9.140625" style="1" customWidth="1"/>
    <col min="15620" max="15620" width="9.140625" style="1"/>
    <col min="15621" max="15623" width="13.140625" style="1" customWidth="1"/>
    <col min="15624" max="15626" width="12.28515625" style="1" customWidth="1"/>
    <col min="15627" max="15627" width="31.42578125" style="1" customWidth="1"/>
    <col min="15628" max="15873" width="9.140625" style="1"/>
    <col min="15874" max="15874" width="11.28515625" style="1" customWidth="1"/>
    <col min="15875" max="15875" width="9.140625" style="1" customWidth="1"/>
    <col min="15876" max="15876" width="9.140625" style="1"/>
    <col min="15877" max="15879" width="13.140625" style="1" customWidth="1"/>
    <col min="15880" max="15882" width="12.28515625" style="1" customWidth="1"/>
    <col min="15883" max="15883" width="31.42578125" style="1" customWidth="1"/>
    <col min="15884" max="16129" width="9.140625" style="1"/>
    <col min="16130" max="16130" width="11.28515625" style="1" customWidth="1"/>
    <col min="16131" max="16131" width="9.140625" style="1" customWidth="1"/>
    <col min="16132" max="16132" width="9.140625" style="1"/>
    <col min="16133" max="16135" width="13.140625" style="1" customWidth="1"/>
    <col min="16136" max="16138" width="12.28515625" style="1" customWidth="1"/>
    <col min="16139" max="16139" width="31.42578125" style="1" customWidth="1"/>
    <col min="16140" max="16384" width="9.140625" style="1"/>
  </cols>
  <sheetData>
    <row r="1" spans="1:12" x14ac:dyDescent="0.2">
      <c r="K1" s="10" t="s">
        <v>557</v>
      </c>
      <c r="L1" s="10"/>
    </row>
    <row r="2" spans="1:12" x14ac:dyDescent="0.2">
      <c r="K2" s="10" t="s">
        <v>75</v>
      </c>
      <c r="L2" s="10"/>
    </row>
    <row r="3" spans="1:12" x14ac:dyDescent="0.2">
      <c r="K3" s="11" t="s">
        <v>316</v>
      </c>
      <c r="L3" s="11"/>
    </row>
    <row r="4" spans="1:12" x14ac:dyDescent="0.2">
      <c r="K4" s="10" t="s">
        <v>572</v>
      </c>
      <c r="L4" s="10"/>
    </row>
    <row r="5" spans="1:12" s="4" customFormat="1" ht="15.75" x14ac:dyDescent="0.25">
      <c r="A5" s="471" t="s">
        <v>84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</row>
    <row r="6" spans="1:12" s="4" customFormat="1" ht="42.75" customHeight="1" x14ac:dyDescent="0.2">
      <c r="A6" s="472" t="s">
        <v>573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</row>
    <row r="7" spans="1:12" ht="18.75" customHeight="1" x14ac:dyDescent="0.2">
      <c r="A7" s="473"/>
      <c r="B7" s="473"/>
      <c r="C7" s="473"/>
      <c r="D7" s="473"/>
      <c r="E7" s="473"/>
      <c r="F7" s="473"/>
      <c r="G7" s="473"/>
      <c r="H7" s="473"/>
      <c r="I7" s="473"/>
      <c r="J7" s="473"/>
      <c r="K7" s="473"/>
    </row>
    <row r="8" spans="1:12" ht="12.75" customHeight="1" x14ac:dyDescent="0.25">
      <c r="A8" s="471" t="s">
        <v>558</v>
      </c>
      <c r="B8" s="471"/>
      <c r="C8" s="471"/>
      <c r="D8" s="471"/>
      <c r="E8" s="471"/>
      <c r="F8" s="471"/>
      <c r="G8" s="471"/>
      <c r="H8" s="471"/>
      <c r="I8" s="471"/>
      <c r="J8" s="471"/>
      <c r="K8" s="471"/>
    </row>
    <row r="9" spans="1:12" ht="6.75" customHeight="1" x14ac:dyDescent="0.25">
      <c r="E9" s="12"/>
    </row>
    <row r="10" spans="1:12" ht="15.75" x14ac:dyDescent="0.2">
      <c r="A10" s="470" t="s">
        <v>85</v>
      </c>
      <c r="B10" s="470" t="s">
        <v>86</v>
      </c>
      <c r="C10" s="470" t="s">
        <v>87</v>
      </c>
      <c r="D10" s="470" t="s">
        <v>88</v>
      </c>
      <c r="E10" s="470" t="s">
        <v>89</v>
      </c>
      <c r="F10" s="470"/>
      <c r="G10" s="470"/>
      <c r="H10" s="470" t="s">
        <v>90</v>
      </c>
      <c r="I10" s="470"/>
      <c r="J10" s="470"/>
      <c r="K10" s="470" t="s">
        <v>91</v>
      </c>
    </row>
    <row r="11" spans="1:12" ht="15.75" x14ac:dyDescent="0.2">
      <c r="A11" s="470"/>
      <c r="B11" s="470"/>
      <c r="C11" s="470"/>
      <c r="D11" s="470"/>
      <c r="E11" s="470" t="s">
        <v>92</v>
      </c>
      <c r="F11" s="470"/>
      <c r="G11" s="470"/>
      <c r="H11" s="470" t="s">
        <v>92</v>
      </c>
      <c r="I11" s="470"/>
      <c r="J11" s="470"/>
      <c r="K11" s="470"/>
    </row>
    <row r="12" spans="1:12" ht="15.75" x14ac:dyDescent="0.2">
      <c r="A12" s="470"/>
      <c r="B12" s="470"/>
      <c r="C12" s="470"/>
      <c r="D12" s="470"/>
      <c r="E12" s="13">
        <v>2023</v>
      </c>
      <c r="F12" s="13">
        <v>2024</v>
      </c>
      <c r="G12" s="13">
        <v>2025</v>
      </c>
      <c r="H12" s="13" t="s">
        <v>93</v>
      </c>
      <c r="I12" s="13" t="s">
        <v>93</v>
      </c>
      <c r="J12" s="13" t="s">
        <v>93</v>
      </c>
      <c r="K12" s="470"/>
    </row>
    <row r="13" spans="1:12" ht="117" customHeight="1" x14ac:dyDescent="0.2">
      <c r="A13" s="470"/>
      <c r="B13" s="470"/>
      <c r="C13" s="470"/>
      <c r="D13" s="470"/>
      <c r="E13" s="13" t="s">
        <v>94</v>
      </c>
      <c r="F13" s="13" t="s">
        <v>95</v>
      </c>
      <c r="G13" s="13" t="s">
        <v>94</v>
      </c>
      <c r="H13" s="14">
        <v>44927</v>
      </c>
      <c r="I13" s="14">
        <v>45292</v>
      </c>
      <c r="J13" s="14">
        <v>45658</v>
      </c>
      <c r="K13" s="470"/>
    </row>
    <row r="14" spans="1:12" ht="94.5" x14ac:dyDescent="0.2">
      <c r="A14" s="13"/>
      <c r="B14" s="6" t="s">
        <v>96</v>
      </c>
      <c r="C14" s="15" t="s">
        <v>96</v>
      </c>
      <c r="D14" s="13" t="s">
        <v>96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6" t="s">
        <v>97</v>
      </c>
    </row>
    <row r="15" spans="1:12" ht="15.75" x14ac:dyDescent="0.2">
      <c r="A15" s="470" t="s">
        <v>98</v>
      </c>
      <c r="B15" s="470"/>
      <c r="C15" s="470"/>
      <c r="D15" s="470"/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6"/>
    </row>
  </sheetData>
  <mergeCells count="14">
    <mergeCell ref="K10:K13"/>
    <mergeCell ref="E11:G11"/>
    <mergeCell ref="H11:J11"/>
    <mergeCell ref="A15:D15"/>
    <mergeCell ref="A5:K5"/>
    <mergeCell ref="A6:K6"/>
    <mergeCell ref="A7:K7"/>
    <mergeCell ref="A8:K8"/>
    <mergeCell ref="A10:A13"/>
    <mergeCell ref="B10:B13"/>
    <mergeCell ref="C10:C13"/>
    <mergeCell ref="D10:D13"/>
    <mergeCell ref="E10:G10"/>
    <mergeCell ref="H10:J10"/>
  </mergeCells>
  <pageMargins left="0.16" right="0.17" top="0.25" bottom="0.28999999999999998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4"/>
  <sheetViews>
    <sheetView view="pageBreakPreview" zoomScaleNormal="120" zoomScaleSheetLayoutView="100" workbookViewId="0">
      <selection activeCell="D14" sqref="D14"/>
    </sheetView>
  </sheetViews>
  <sheetFormatPr defaultRowHeight="12.75" x14ac:dyDescent="0.2"/>
  <cols>
    <col min="1" max="1" width="0.140625" style="19" customWidth="1"/>
    <col min="2" max="2" width="21.28515625" style="57" customWidth="1"/>
    <col min="3" max="3" width="48.85546875" style="19" customWidth="1"/>
    <col min="4" max="6" width="13.7109375" style="19" customWidth="1"/>
    <col min="7" max="256" width="9.140625" style="19"/>
    <col min="257" max="257" width="0.140625" style="19" customWidth="1"/>
    <col min="258" max="258" width="22" style="19" customWidth="1"/>
    <col min="259" max="259" width="51" style="19" customWidth="1"/>
    <col min="260" max="262" width="13.7109375" style="19" customWidth="1"/>
    <col min="263" max="512" width="9.140625" style="19"/>
    <col min="513" max="513" width="0.140625" style="19" customWidth="1"/>
    <col min="514" max="514" width="22" style="19" customWidth="1"/>
    <col min="515" max="515" width="51" style="19" customWidth="1"/>
    <col min="516" max="518" width="13.7109375" style="19" customWidth="1"/>
    <col min="519" max="768" width="9.140625" style="19"/>
    <col min="769" max="769" width="0.140625" style="19" customWidth="1"/>
    <col min="770" max="770" width="22" style="19" customWidth="1"/>
    <col min="771" max="771" width="51" style="19" customWidth="1"/>
    <col min="772" max="774" width="13.7109375" style="19" customWidth="1"/>
    <col min="775" max="1024" width="9.140625" style="19"/>
    <col min="1025" max="1025" width="0.140625" style="19" customWidth="1"/>
    <col min="1026" max="1026" width="22" style="19" customWidth="1"/>
    <col min="1027" max="1027" width="51" style="19" customWidth="1"/>
    <col min="1028" max="1030" width="13.7109375" style="19" customWidth="1"/>
    <col min="1031" max="1280" width="9.140625" style="19"/>
    <col min="1281" max="1281" width="0.140625" style="19" customWidth="1"/>
    <col min="1282" max="1282" width="22" style="19" customWidth="1"/>
    <col min="1283" max="1283" width="51" style="19" customWidth="1"/>
    <col min="1284" max="1286" width="13.7109375" style="19" customWidth="1"/>
    <col min="1287" max="1536" width="9.140625" style="19"/>
    <col min="1537" max="1537" width="0.140625" style="19" customWidth="1"/>
    <col min="1538" max="1538" width="22" style="19" customWidth="1"/>
    <col min="1539" max="1539" width="51" style="19" customWidth="1"/>
    <col min="1540" max="1542" width="13.7109375" style="19" customWidth="1"/>
    <col min="1543" max="1792" width="9.140625" style="19"/>
    <col min="1793" max="1793" width="0.140625" style="19" customWidth="1"/>
    <col min="1794" max="1794" width="22" style="19" customWidth="1"/>
    <col min="1795" max="1795" width="51" style="19" customWidth="1"/>
    <col min="1796" max="1798" width="13.7109375" style="19" customWidth="1"/>
    <col min="1799" max="2048" width="9.140625" style="19"/>
    <col min="2049" max="2049" width="0.140625" style="19" customWidth="1"/>
    <col min="2050" max="2050" width="22" style="19" customWidth="1"/>
    <col min="2051" max="2051" width="51" style="19" customWidth="1"/>
    <col min="2052" max="2054" width="13.7109375" style="19" customWidth="1"/>
    <col min="2055" max="2304" width="9.140625" style="19"/>
    <col min="2305" max="2305" width="0.140625" style="19" customWidth="1"/>
    <col min="2306" max="2306" width="22" style="19" customWidth="1"/>
    <col min="2307" max="2307" width="51" style="19" customWidth="1"/>
    <col min="2308" max="2310" width="13.7109375" style="19" customWidth="1"/>
    <col min="2311" max="2560" width="9.140625" style="19"/>
    <col min="2561" max="2561" width="0.140625" style="19" customWidth="1"/>
    <col min="2562" max="2562" width="22" style="19" customWidth="1"/>
    <col min="2563" max="2563" width="51" style="19" customWidth="1"/>
    <col min="2564" max="2566" width="13.7109375" style="19" customWidth="1"/>
    <col min="2567" max="2816" width="9.140625" style="19"/>
    <col min="2817" max="2817" width="0.140625" style="19" customWidth="1"/>
    <col min="2818" max="2818" width="22" style="19" customWidth="1"/>
    <col min="2819" max="2819" width="51" style="19" customWidth="1"/>
    <col min="2820" max="2822" width="13.7109375" style="19" customWidth="1"/>
    <col min="2823" max="3072" width="9.140625" style="19"/>
    <col min="3073" max="3073" width="0.140625" style="19" customWidth="1"/>
    <col min="3074" max="3074" width="22" style="19" customWidth="1"/>
    <col min="3075" max="3075" width="51" style="19" customWidth="1"/>
    <col min="3076" max="3078" width="13.7109375" style="19" customWidth="1"/>
    <col min="3079" max="3328" width="9.140625" style="19"/>
    <col min="3329" max="3329" width="0.140625" style="19" customWidth="1"/>
    <col min="3330" max="3330" width="22" style="19" customWidth="1"/>
    <col min="3331" max="3331" width="51" style="19" customWidth="1"/>
    <col min="3332" max="3334" width="13.7109375" style="19" customWidth="1"/>
    <col min="3335" max="3584" width="9.140625" style="19"/>
    <col min="3585" max="3585" width="0.140625" style="19" customWidth="1"/>
    <col min="3586" max="3586" width="22" style="19" customWidth="1"/>
    <col min="3587" max="3587" width="51" style="19" customWidth="1"/>
    <col min="3588" max="3590" width="13.7109375" style="19" customWidth="1"/>
    <col min="3591" max="3840" width="9.140625" style="19"/>
    <col min="3841" max="3841" width="0.140625" style="19" customWidth="1"/>
    <col min="3842" max="3842" width="22" style="19" customWidth="1"/>
    <col min="3843" max="3843" width="51" style="19" customWidth="1"/>
    <col min="3844" max="3846" width="13.7109375" style="19" customWidth="1"/>
    <col min="3847" max="4096" width="9.140625" style="19"/>
    <col min="4097" max="4097" width="0.140625" style="19" customWidth="1"/>
    <col min="4098" max="4098" width="22" style="19" customWidth="1"/>
    <col min="4099" max="4099" width="51" style="19" customWidth="1"/>
    <col min="4100" max="4102" width="13.7109375" style="19" customWidth="1"/>
    <col min="4103" max="4352" width="9.140625" style="19"/>
    <col min="4353" max="4353" width="0.140625" style="19" customWidth="1"/>
    <col min="4354" max="4354" width="22" style="19" customWidth="1"/>
    <col min="4355" max="4355" width="51" style="19" customWidth="1"/>
    <col min="4356" max="4358" width="13.7109375" style="19" customWidth="1"/>
    <col min="4359" max="4608" width="9.140625" style="19"/>
    <col min="4609" max="4609" width="0.140625" style="19" customWidth="1"/>
    <col min="4610" max="4610" width="22" style="19" customWidth="1"/>
    <col min="4611" max="4611" width="51" style="19" customWidth="1"/>
    <col min="4612" max="4614" width="13.7109375" style="19" customWidth="1"/>
    <col min="4615" max="4864" width="9.140625" style="19"/>
    <col min="4865" max="4865" width="0.140625" style="19" customWidth="1"/>
    <col min="4866" max="4866" width="22" style="19" customWidth="1"/>
    <col min="4867" max="4867" width="51" style="19" customWidth="1"/>
    <col min="4868" max="4870" width="13.7109375" style="19" customWidth="1"/>
    <col min="4871" max="5120" width="9.140625" style="19"/>
    <col min="5121" max="5121" width="0.140625" style="19" customWidth="1"/>
    <col min="5122" max="5122" width="22" style="19" customWidth="1"/>
    <col min="5123" max="5123" width="51" style="19" customWidth="1"/>
    <col min="5124" max="5126" width="13.7109375" style="19" customWidth="1"/>
    <col min="5127" max="5376" width="9.140625" style="19"/>
    <col min="5377" max="5377" width="0.140625" style="19" customWidth="1"/>
    <col min="5378" max="5378" width="22" style="19" customWidth="1"/>
    <col min="5379" max="5379" width="51" style="19" customWidth="1"/>
    <col min="5380" max="5382" width="13.7109375" style="19" customWidth="1"/>
    <col min="5383" max="5632" width="9.140625" style="19"/>
    <col min="5633" max="5633" width="0.140625" style="19" customWidth="1"/>
    <col min="5634" max="5634" width="22" style="19" customWidth="1"/>
    <col min="5635" max="5635" width="51" style="19" customWidth="1"/>
    <col min="5636" max="5638" width="13.7109375" style="19" customWidth="1"/>
    <col min="5639" max="5888" width="9.140625" style="19"/>
    <col min="5889" max="5889" width="0.140625" style="19" customWidth="1"/>
    <col min="5890" max="5890" width="22" style="19" customWidth="1"/>
    <col min="5891" max="5891" width="51" style="19" customWidth="1"/>
    <col min="5892" max="5894" width="13.7109375" style="19" customWidth="1"/>
    <col min="5895" max="6144" width="9.140625" style="19"/>
    <col min="6145" max="6145" width="0.140625" style="19" customWidth="1"/>
    <col min="6146" max="6146" width="22" style="19" customWidth="1"/>
    <col min="6147" max="6147" width="51" style="19" customWidth="1"/>
    <col min="6148" max="6150" width="13.7109375" style="19" customWidth="1"/>
    <col min="6151" max="6400" width="9.140625" style="19"/>
    <col min="6401" max="6401" width="0.140625" style="19" customWidth="1"/>
    <col min="6402" max="6402" width="22" style="19" customWidth="1"/>
    <col min="6403" max="6403" width="51" style="19" customWidth="1"/>
    <col min="6404" max="6406" width="13.7109375" style="19" customWidth="1"/>
    <col min="6407" max="6656" width="9.140625" style="19"/>
    <col min="6657" max="6657" width="0.140625" style="19" customWidth="1"/>
    <col min="6658" max="6658" width="22" style="19" customWidth="1"/>
    <col min="6659" max="6659" width="51" style="19" customWidth="1"/>
    <col min="6660" max="6662" width="13.7109375" style="19" customWidth="1"/>
    <col min="6663" max="6912" width="9.140625" style="19"/>
    <col min="6913" max="6913" width="0.140625" style="19" customWidth="1"/>
    <col min="6914" max="6914" width="22" style="19" customWidth="1"/>
    <col min="6915" max="6915" width="51" style="19" customWidth="1"/>
    <col min="6916" max="6918" width="13.7109375" style="19" customWidth="1"/>
    <col min="6919" max="7168" width="9.140625" style="19"/>
    <col min="7169" max="7169" width="0.140625" style="19" customWidth="1"/>
    <col min="7170" max="7170" width="22" style="19" customWidth="1"/>
    <col min="7171" max="7171" width="51" style="19" customWidth="1"/>
    <col min="7172" max="7174" width="13.7109375" style="19" customWidth="1"/>
    <col min="7175" max="7424" width="9.140625" style="19"/>
    <col min="7425" max="7425" width="0.140625" style="19" customWidth="1"/>
    <col min="7426" max="7426" width="22" style="19" customWidth="1"/>
    <col min="7427" max="7427" width="51" style="19" customWidth="1"/>
    <col min="7428" max="7430" width="13.7109375" style="19" customWidth="1"/>
    <col min="7431" max="7680" width="9.140625" style="19"/>
    <col min="7681" max="7681" width="0.140625" style="19" customWidth="1"/>
    <col min="7682" max="7682" width="22" style="19" customWidth="1"/>
    <col min="7683" max="7683" width="51" style="19" customWidth="1"/>
    <col min="7684" max="7686" width="13.7109375" style="19" customWidth="1"/>
    <col min="7687" max="7936" width="9.140625" style="19"/>
    <col min="7937" max="7937" width="0.140625" style="19" customWidth="1"/>
    <col min="7938" max="7938" width="22" style="19" customWidth="1"/>
    <col min="7939" max="7939" width="51" style="19" customWidth="1"/>
    <col min="7940" max="7942" width="13.7109375" style="19" customWidth="1"/>
    <col min="7943" max="8192" width="9.140625" style="19"/>
    <col min="8193" max="8193" width="0.140625" style="19" customWidth="1"/>
    <col min="8194" max="8194" width="22" style="19" customWidth="1"/>
    <col min="8195" max="8195" width="51" style="19" customWidth="1"/>
    <col min="8196" max="8198" width="13.7109375" style="19" customWidth="1"/>
    <col min="8199" max="8448" width="9.140625" style="19"/>
    <col min="8449" max="8449" width="0.140625" style="19" customWidth="1"/>
    <col min="8450" max="8450" width="22" style="19" customWidth="1"/>
    <col min="8451" max="8451" width="51" style="19" customWidth="1"/>
    <col min="8452" max="8454" width="13.7109375" style="19" customWidth="1"/>
    <col min="8455" max="8704" width="9.140625" style="19"/>
    <col min="8705" max="8705" width="0.140625" style="19" customWidth="1"/>
    <col min="8706" max="8706" width="22" style="19" customWidth="1"/>
    <col min="8707" max="8707" width="51" style="19" customWidth="1"/>
    <col min="8708" max="8710" width="13.7109375" style="19" customWidth="1"/>
    <col min="8711" max="8960" width="9.140625" style="19"/>
    <col min="8961" max="8961" width="0.140625" style="19" customWidth="1"/>
    <col min="8962" max="8962" width="22" style="19" customWidth="1"/>
    <col min="8963" max="8963" width="51" style="19" customWidth="1"/>
    <col min="8964" max="8966" width="13.7109375" style="19" customWidth="1"/>
    <col min="8967" max="9216" width="9.140625" style="19"/>
    <col min="9217" max="9217" width="0.140625" style="19" customWidth="1"/>
    <col min="9218" max="9218" width="22" style="19" customWidth="1"/>
    <col min="9219" max="9219" width="51" style="19" customWidth="1"/>
    <col min="9220" max="9222" width="13.7109375" style="19" customWidth="1"/>
    <col min="9223" max="9472" width="9.140625" style="19"/>
    <col min="9473" max="9473" width="0.140625" style="19" customWidth="1"/>
    <col min="9474" max="9474" width="22" style="19" customWidth="1"/>
    <col min="9475" max="9475" width="51" style="19" customWidth="1"/>
    <col min="9476" max="9478" width="13.7109375" style="19" customWidth="1"/>
    <col min="9479" max="9728" width="9.140625" style="19"/>
    <col min="9729" max="9729" width="0.140625" style="19" customWidth="1"/>
    <col min="9730" max="9730" width="22" style="19" customWidth="1"/>
    <col min="9731" max="9731" width="51" style="19" customWidth="1"/>
    <col min="9732" max="9734" width="13.7109375" style="19" customWidth="1"/>
    <col min="9735" max="9984" width="9.140625" style="19"/>
    <col min="9985" max="9985" width="0.140625" style="19" customWidth="1"/>
    <col min="9986" max="9986" width="22" style="19" customWidth="1"/>
    <col min="9987" max="9987" width="51" style="19" customWidth="1"/>
    <col min="9988" max="9990" width="13.7109375" style="19" customWidth="1"/>
    <col min="9991" max="10240" width="9.140625" style="19"/>
    <col min="10241" max="10241" width="0.140625" style="19" customWidth="1"/>
    <col min="10242" max="10242" width="22" style="19" customWidth="1"/>
    <col min="10243" max="10243" width="51" style="19" customWidth="1"/>
    <col min="10244" max="10246" width="13.7109375" style="19" customWidth="1"/>
    <col min="10247" max="10496" width="9.140625" style="19"/>
    <col min="10497" max="10497" width="0.140625" style="19" customWidth="1"/>
    <col min="10498" max="10498" width="22" style="19" customWidth="1"/>
    <col min="10499" max="10499" width="51" style="19" customWidth="1"/>
    <col min="10500" max="10502" width="13.7109375" style="19" customWidth="1"/>
    <col min="10503" max="10752" width="9.140625" style="19"/>
    <col min="10753" max="10753" width="0.140625" style="19" customWidth="1"/>
    <col min="10754" max="10754" width="22" style="19" customWidth="1"/>
    <col min="10755" max="10755" width="51" style="19" customWidth="1"/>
    <col min="10756" max="10758" width="13.7109375" style="19" customWidth="1"/>
    <col min="10759" max="11008" width="9.140625" style="19"/>
    <col min="11009" max="11009" width="0.140625" style="19" customWidth="1"/>
    <col min="11010" max="11010" width="22" style="19" customWidth="1"/>
    <col min="11011" max="11011" width="51" style="19" customWidth="1"/>
    <col min="11012" max="11014" width="13.7109375" style="19" customWidth="1"/>
    <col min="11015" max="11264" width="9.140625" style="19"/>
    <col min="11265" max="11265" width="0.140625" style="19" customWidth="1"/>
    <col min="11266" max="11266" width="22" style="19" customWidth="1"/>
    <col min="11267" max="11267" width="51" style="19" customWidth="1"/>
    <col min="11268" max="11270" width="13.7109375" style="19" customWidth="1"/>
    <col min="11271" max="11520" width="9.140625" style="19"/>
    <col min="11521" max="11521" width="0.140625" style="19" customWidth="1"/>
    <col min="11522" max="11522" width="22" style="19" customWidth="1"/>
    <col min="11523" max="11523" width="51" style="19" customWidth="1"/>
    <col min="11524" max="11526" width="13.7109375" style="19" customWidth="1"/>
    <col min="11527" max="11776" width="9.140625" style="19"/>
    <col min="11777" max="11777" width="0.140625" style="19" customWidth="1"/>
    <col min="11778" max="11778" width="22" style="19" customWidth="1"/>
    <col min="11779" max="11779" width="51" style="19" customWidth="1"/>
    <col min="11780" max="11782" width="13.7109375" style="19" customWidth="1"/>
    <col min="11783" max="12032" width="9.140625" style="19"/>
    <col min="12033" max="12033" width="0.140625" style="19" customWidth="1"/>
    <col min="12034" max="12034" width="22" style="19" customWidth="1"/>
    <col min="12035" max="12035" width="51" style="19" customWidth="1"/>
    <col min="12036" max="12038" width="13.7109375" style="19" customWidth="1"/>
    <col min="12039" max="12288" width="9.140625" style="19"/>
    <col min="12289" max="12289" width="0.140625" style="19" customWidth="1"/>
    <col min="12290" max="12290" width="22" style="19" customWidth="1"/>
    <col min="12291" max="12291" width="51" style="19" customWidth="1"/>
    <col min="12292" max="12294" width="13.7109375" style="19" customWidth="1"/>
    <col min="12295" max="12544" width="9.140625" style="19"/>
    <col min="12545" max="12545" width="0.140625" style="19" customWidth="1"/>
    <col min="12546" max="12546" width="22" style="19" customWidth="1"/>
    <col min="12547" max="12547" width="51" style="19" customWidth="1"/>
    <col min="12548" max="12550" width="13.7109375" style="19" customWidth="1"/>
    <col min="12551" max="12800" width="9.140625" style="19"/>
    <col min="12801" max="12801" width="0.140625" style="19" customWidth="1"/>
    <col min="12802" max="12802" width="22" style="19" customWidth="1"/>
    <col min="12803" max="12803" width="51" style="19" customWidth="1"/>
    <col min="12804" max="12806" width="13.7109375" style="19" customWidth="1"/>
    <col min="12807" max="13056" width="9.140625" style="19"/>
    <col min="13057" max="13057" width="0.140625" style="19" customWidth="1"/>
    <col min="13058" max="13058" width="22" style="19" customWidth="1"/>
    <col min="13059" max="13059" width="51" style="19" customWidth="1"/>
    <col min="13060" max="13062" width="13.7109375" style="19" customWidth="1"/>
    <col min="13063" max="13312" width="9.140625" style="19"/>
    <col min="13313" max="13313" width="0.140625" style="19" customWidth="1"/>
    <col min="13314" max="13314" width="22" style="19" customWidth="1"/>
    <col min="13315" max="13315" width="51" style="19" customWidth="1"/>
    <col min="13316" max="13318" width="13.7109375" style="19" customWidth="1"/>
    <col min="13319" max="13568" width="9.140625" style="19"/>
    <col min="13569" max="13569" width="0.140625" style="19" customWidth="1"/>
    <col min="13570" max="13570" width="22" style="19" customWidth="1"/>
    <col min="13571" max="13571" width="51" style="19" customWidth="1"/>
    <col min="13572" max="13574" width="13.7109375" style="19" customWidth="1"/>
    <col min="13575" max="13824" width="9.140625" style="19"/>
    <col min="13825" max="13825" width="0.140625" style="19" customWidth="1"/>
    <col min="13826" max="13826" width="22" style="19" customWidth="1"/>
    <col min="13827" max="13827" width="51" style="19" customWidth="1"/>
    <col min="13828" max="13830" width="13.7109375" style="19" customWidth="1"/>
    <col min="13831" max="14080" width="9.140625" style="19"/>
    <col min="14081" max="14081" width="0.140625" style="19" customWidth="1"/>
    <col min="14082" max="14082" width="22" style="19" customWidth="1"/>
    <col min="14083" max="14083" width="51" style="19" customWidth="1"/>
    <col min="14084" max="14086" width="13.7109375" style="19" customWidth="1"/>
    <col min="14087" max="14336" width="9.140625" style="19"/>
    <col min="14337" max="14337" width="0.140625" style="19" customWidth="1"/>
    <col min="14338" max="14338" width="22" style="19" customWidth="1"/>
    <col min="14339" max="14339" width="51" style="19" customWidth="1"/>
    <col min="14340" max="14342" width="13.7109375" style="19" customWidth="1"/>
    <col min="14343" max="14592" width="9.140625" style="19"/>
    <col min="14593" max="14593" width="0.140625" style="19" customWidth="1"/>
    <col min="14594" max="14594" width="22" style="19" customWidth="1"/>
    <col min="14595" max="14595" width="51" style="19" customWidth="1"/>
    <col min="14596" max="14598" width="13.7109375" style="19" customWidth="1"/>
    <col min="14599" max="14848" width="9.140625" style="19"/>
    <col min="14849" max="14849" width="0.140625" style="19" customWidth="1"/>
    <col min="14850" max="14850" width="22" style="19" customWidth="1"/>
    <col min="14851" max="14851" width="51" style="19" customWidth="1"/>
    <col min="14852" max="14854" width="13.7109375" style="19" customWidth="1"/>
    <col min="14855" max="15104" width="9.140625" style="19"/>
    <col min="15105" max="15105" width="0.140625" style="19" customWidth="1"/>
    <col min="15106" max="15106" width="22" style="19" customWidth="1"/>
    <col min="15107" max="15107" width="51" style="19" customWidth="1"/>
    <col min="15108" max="15110" width="13.7109375" style="19" customWidth="1"/>
    <col min="15111" max="15360" width="9.140625" style="19"/>
    <col min="15361" max="15361" width="0.140625" style="19" customWidth="1"/>
    <col min="15362" max="15362" width="22" style="19" customWidth="1"/>
    <col min="15363" max="15363" width="51" style="19" customWidth="1"/>
    <col min="15364" max="15366" width="13.7109375" style="19" customWidth="1"/>
    <col min="15367" max="15616" width="9.140625" style="19"/>
    <col min="15617" max="15617" width="0.140625" style="19" customWidth="1"/>
    <col min="15618" max="15618" width="22" style="19" customWidth="1"/>
    <col min="15619" max="15619" width="51" style="19" customWidth="1"/>
    <col min="15620" max="15622" width="13.7109375" style="19" customWidth="1"/>
    <col min="15623" max="15872" width="9.140625" style="19"/>
    <col min="15873" max="15873" width="0.140625" style="19" customWidth="1"/>
    <col min="15874" max="15874" width="22" style="19" customWidth="1"/>
    <col min="15875" max="15875" width="51" style="19" customWidth="1"/>
    <col min="15876" max="15878" width="13.7109375" style="19" customWidth="1"/>
    <col min="15879" max="16128" width="9.140625" style="19"/>
    <col min="16129" max="16129" width="0.140625" style="19" customWidth="1"/>
    <col min="16130" max="16130" width="22" style="19" customWidth="1"/>
    <col min="16131" max="16131" width="51" style="19" customWidth="1"/>
    <col min="16132" max="16134" width="13.7109375" style="19" customWidth="1"/>
    <col min="16135" max="16384" width="9.140625" style="19"/>
  </cols>
  <sheetData>
    <row r="1" spans="2:10" x14ac:dyDescent="0.2">
      <c r="B1" s="16"/>
      <c r="C1" s="16"/>
      <c r="D1" s="10"/>
      <c r="E1" s="10" t="s">
        <v>323</v>
      </c>
      <c r="F1" s="10"/>
      <c r="G1" s="17"/>
      <c r="H1" s="10"/>
      <c r="I1" s="10"/>
      <c r="J1" s="18"/>
    </row>
    <row r="2" spans="2:10" x14ac:dyDescent="0.2">
      <c r="B2" s="16"/>
      <c r="C2" s="16"/>
      <c r="D2" s="10"/>
      <c r="E2" s="10" t="s">
        <v>75</v>
      </c>
      <c r="F2" s="10"/>
      <c r="G2" s="17"/>
      <c r="H2" s="10"/>
      <c r="I2" s="10"/>
      <c r="J2" s="18"/>
    </row>
    <row r="3" spans="2:10" ht="12.75" customHeight="1" x14ac:dyDescent="0.2">
      <c r="B3" s="16"/>
      <c r="C3" s="199" t="s">
        <v>566</v>
      </c>
      <c r="D3" s="11"/>
      <c r="E3" s="433" t="s">
        <v>316</v>
      </c>
      <c r="F3" s="433"/>
      <c r="G3" s="17"/>
      <c r="H3" s="10"/>
      <c r="I3" s="10"/>
      <c r="J3" s="18"/>
    </row>
    <row r="4" spans="2:10" x14ac:dyDescent="0.2">
      <c r="B4" s="16"/>
      <c r="C4" s="16"/>
      <c r="D4" s="10"/>
      <c r="E4" s="10" t="s">
        <v>565</v>
      </c>
      <c r="F4" s="10"/>
      <c r="G4" s="17"/>
      <c r="H4" s="10"/>
      <c r="I4" s="10"/>
      <c r="J4" s="18"/>
    </row>
    <row r="5" spans="2:10" ht="12.95" customHeight="1" x14ac:dyDescent="0.2">
      <c r="B5" s="16"/>
      <c r="C5" s="16"/>
      <c r="D5" s="17"/>
      <c r="E5" s="17"/>
      <c r="F5" s="16"/>
      <c r="G5" s="17"/>
      <c r="H5" s="17"/>
      <c r="I5" s="17"/>
      <c r="J5" s="18"/>
    </row>
    <row r="6" spans="2:10" ht="12.95" customHeight="1" x14ac:dyDescent="0.2">
      <c r="B6" s="16"/>
      <c r="C6" s="16"/>
      <c r="D6" s="17"/>
      <c r="E6" s="17"/>
      <c r="F6" s="16"/>
      <c r="G6" s="17"/>
      <c r="H6" s="17"/>
      <c r="I6" s="17"/>
      <c r="J6" s="18"/>
    </row>
    <row r="7" spans="2:10" x14ac:dyDescent="0.2">
      <c r="B7" s="446" t="s">
        <v>99</v>
      </c>
      <c r="C7" s="446"/>
      <c r="D7" s="446"/>
      <c r="E7" s="446"/>
      <c r="F7" s="446"/>
      <c r="G7" s="20"/>
      <c r="H7" s="20"/>
      <c r="I7" s="20"/>
      <c r="J7" s="18"/>
    </row>
    <row r="8" spans="2:10" x14ac:dyDescent="0.2">
      <c r="B8" s="446" t="s">
        <v>317</v>
      </c>
      <c r="C8" s="446"/>
      <c r="D8" s="446"/>
      <c r="E8" s="446"/>
      <c r="F8" s="446"/>
      <c r="G8" s="21"/>
      <c r="H8" s="21"/>
      <c r="I8" s="21"/>
      <c r="J8" s="18"/>
    </row>
    <row r="9" spans="2:10" x14ac:dyDescent="0.2">
      <c r="B9" s="447" t="s">
        <v>562</v>
      </c>
      <c r="C9" s="447"/>
      <c r="D9" s="447"/>
      <c r="E9" s="447"/>
      <c r="F9" s="447"/>
      <c r="G9" s="10"/>
      <c r="H9" s="10"/>
      <c r="I9" s="10"/>
      <c r="J9" s="18"/>
    </row>
    <row r="10" spans="2:10" ht="13.5" thickBot="1" x14ac:dyDescent="0.25">
      <c r="B10" s="16"/>
      <c r="C10" s="16"/>
      <c r="D10" s="17"/>
      <c r="F10" s="22" t="s">
        <v>73</v>
      </c>
      <c r="G10" s="17"/>
      <c r="H10" s="17"/>
      <c r="I10" s="22"/>
      <c r="J10" s="18"/>
    </row>
    <row r="11" spans="2:10" ht="20.25" customHeight="1" thickBot="1" x14ac:dyDescent="0.25">
      <c r="B11" s="23" t="s">
        <v>100</v>
      </c>
      <c r="C11" s="23" t="s">
        <v>101</v>
      </c>
      <c r="D11" s="24">
        <v>2023</v>
      </c>
      <c r="E11" s="24">
        <v>2024</v>
      </c>
      <c r="F11" s="24">
        <v>2025</v>
      </c>
    </row>
    <row r="12" spans="2:10" s="28" customFormat="1" x14ac:dyDescent="0.2">
      <c r="B12" s="25" t="s">
        <v>102</v>
      </c>
      <c r="C12" s="26" t="s">
        <v>103</v>
      </c>
      <c r="D12" s="26">
        <f>D13+D18+D24+D28+D36+D39+D43+D52+D58+D65+D68+D71</f>
        <v>16085.52</v>
      </c>
      <c r="E12" s="26">
        <f>E13+E18+E24+E28+E36+E39+E43+E52+E58+E65+E68+E71</f>
        <v>16746.260000000002</v>
      </c>
      <c r="F12" s="27">
        <f>F13+F18+F24+F28+F36+F39+F43+F52+F58+F65+F68+F71</f>
        <v>17483.32</v>
      </c>
    </row>
    <row r="13" spans="2:10" s="28" customFormat="1" x14ac:dyDescent="0.2">
      <c r="B13" s="29" t="s">
        <v>104</v>
      </c>
      <c r="C13" s="30" t="s">
        <v>105</v>
      </c>
      <c r="D13" s="193">
        <f>D14</f>
        <v>10697</v>
      </c>
      <c r="E13" s="193">
        <f>E14</f>
        <v>10929</v>
      </c>
      <c r="F13" s="194">
        <f>F14</f>
        <v>11163</v>
      </c>
    </row>
    <row r="14" spans="2:10" x14ac:dyDescent="0.2">
      <c r="B14" s="33" t="s">
        <v>106</v>
      </c>
      <c r="C14" s="34" t="s">
        <v>107</v>
      </c>
      <c r="D14" s="195">
        <f>D15+D16+D17</f>
        <v>10697</v>
      </c>
      <c r="E14" s="195">
        <f>E15+E16+E17</f>
        <v>10929</v>
      </c>
      <c r="F14" s="196">
        <f>F15+F16+F17</f>
        <v>11163</v>
      </c>
    </row>
    <row r="15" spans="2:10" ht="63.75" x14ac:dyDescent="0.2">
      <c r="B15" s="33" t="s">
        <v>108</v>
      </c>
      <c r="C15" s="34" t="s">
        <v>109</v>
      </c>
      <c r="D15" s="195">
        <v>10000</v>
      </c>
      <c r="E15" s="195">
        <v>10200</v>
      </c>
      <c r="F15" s="196">
        <v>10404</v>
      </c>
    </row>
    <row r="16" spans="2:10" ht="93.75" customHeight="1" x14ac:dyDescent="0.2">
      <c r="B16" s="33" t="s">
        <v>110</v>
      </c>
      <c r="C16" s="34" t="s">
        <v>111</v>
      </c>
      <c r="D16" s="195">
        <v>130</v>
      </c>
      <c r="E16" s="195">
        <v>136</v>
      </c>
      <c r="F16" s="196">
        <v>142</v>
      </c>
    </row>
    <row r="17" spans="2:6" ht="38.25" x14ac:dyDescent="0.2">
      <c r="B17" s="33" t="s">
        <v>112</v>
      </c>
      <c r="C17" s="34" t="s">
        <v>113</v>
      </c>
      <c r="D17" s="195">
        <v>567</v>
      </c>
      <c r="E17" s="195">
        <v>593</v>
      </c>
      <c r="F17" s="196">
        <v>617</v>
      </c>
    </row>
    <row r="18" spans="2:6" s="28" customFormat="1" ht="38.25" x14ac:dyDescent="0.2">
      <c r="B18" s="29" t="s">
        <v>114</v>
      </c>
      <c r="C18" s="30" t="s">
        <v>115</v>
      </c>
      <c r="D18" s="193">
        <f>D19</f>
        <v>2484.5200000000004</v>
      </c>
      <c r="E18" s="193">
        <f>E19</f>
        <v>2612.2600000000002</v>
      </c>
      <c r="F18" s="194">
        <f>F19</f>
        <v>2734.32</v>
      </c>
    </row>
    <row r="19" spans="2:6" ht="25.5" x14ac:dyDescent="0.2">
      <c r="B19" s="33" t="s">
        <v>116</v>
      </c>
      <c r="C19" s="34" t="s">
        <v>117</v>
      </c>
      <c r="D19" s="195">
        <f>D20+D21+D22+D23</f>
        <v>2484.5200000000004</v>
      </c>
      <c r="E19" s="195">
        <f>E20+E21+E22+E23</f>
        <v>2612.2600000000002</v>
      </c>
      <c r="F19" s="196">
        <f>F20+F21+F22+F23</f>
        <v>2734.32</v>
      </c>
    </row>
    <row r="20" spans="2:6" ht="76.5" x14ac:dyDescent="0.2">
      <c r="B20" s="33" t="s">
        <v>118</v>
      </c>
      <c r="C20" s="34" t="s">
        <v>119</v>
      </c>
      <c r="D20" s="195">
        <v>1176.79</v>
      </c>
      <c r="E20" s="195">
        <v>1246.26</v>
      </c>
      <c r="F20" s="195">
        <v>1307.71</v>
      </c>
    </row>
    <row r="21" spans="2:6" ht="89.25" x14ac:dyDescent="0.2">
      <c r="B21" s="33" t="s">
        <v>120</v>
      </c>
      <c r="C21" s="34" t="s">
        <v>121</v>
      </c>
      <c r="D21" s="195">
        <v>8.17</v>
      </c>
      <c r="E21" s="195">
        <v>8.51</v>
      </c>
      <c r="F21" s="195">
        <v>8.69</v>
      </c>
    </row>
    <row r="22" spans="2:6" ht="76.5" x14ac:dyDescent="0.2">
      <c r="B22" s="33" t="s">
        <v>122</v>
      </c>
      <c r="C22" s="34" t="s">
        <v>123</v>
      </c>
      <c r="D22" s="195">
        <v>1454.76</v>
      </c>
      <c r="E22" s="195">
        <v>1520.7</v>
      </c>
      <c r="F22" s="195">
        <v>1578.96</v>
      </c>
    </row>
    <row r="23" spans="2:6" ht="52.5" customHeight="1" x14ac:dyDescent="0.2">
      <c r="B23" s="33" t="s">
        <v>124</v>
      </c>
      <c r="C23" s="34" t="s">
        <v>125</v>
      </c>
      <c r="D23" s="195">
        <v>-155.19999999999999</v>
      </c>
      <c r="E23" s="195">
        <v>-163.21</v>
      </c>
      <c r="F23" s="195">
        <v>-161.04</v>
      </c>
    </row>
    <row r="24" spans="2:6" s="28" customFormat="1" x14ac:dyDescent="0.2">
      <c r="B24" s="29" t="s">
        <v>126</v>
      </c>
      <c r="C24" s="30" t="s">
        <v>127</v>
      </c>
      <c r="D24" s="193">
        <f>D25</f>
        <v>394</v>
      </c>
      <c r="E24" s="193">
        <f>E25</f>
        <v>464</v>
      </c>
      <c r="F24" s="194">
        <f>F25</f>
        <v>538</v>
      </c>
    </row>
    <row r="25" spans="2:6" x14ac:dyDescent="0.2">
      <c r="B25" s="33" t="s">
        <v>128</v>
      </c>
      <c r="C25" s="34" t="s">
        <v>129</v>
      </c>
      <c r="D25" s="195">
        <f>D26+D27</f>
        <v>394</v>
      </c>
      <c r="E25" s="195">
        <f>E26+E27</f>
        <v>464</v>
      </c>
      <c r="F25" s="196">
        <f>F26+F27</f>
        <v>538</v>
      </c>
    </row>
    <row r="26" spans="2:6" x14ac:dyDescent="0.2">
      <c r="B26" s="33" t="s">
        <v>130</v>
      </c>
      <c r="C26" s="34" t="s">
        <v>129</v>
      </c>
      <c r="D26" s="195">
        <v>394</v>
      </c>
      <c r="E26" s="195">
        <v>464</v>
      </c>
      <c r="F26" s="196">
        <v>538</v>
      </c>
    </row>
    <row r="27" spans="2:6" ht="25.5" x14ac:dyDescent="0.2">
      <c r="B27" s="33" t="s">
        <v>131</v>
      </c>
      <c r="C27" s="34" t="s">
        <v>132</v>
      </c>
      <c r="D27" s="195"/>
      <c r="E27" s="195"/>
      <c r="F27" s="196"/>
    </row>
    <row r="28" spans="2:6" s="28" customFormat="1" x14ac:dyDescent="0.2">
      <c r="B28" s="29" t="s">
        <v>133</v>
      </c>
      <c r="C28" s="30" t="s">
        <v>134</v>
      </c>
      <c r="D28" s="193">
        <f>D29+D31</f>
        <v>2450</v>
      </c>
      <c r="E28" s="193">
        <f>E29+E31</f>
        <v>2681</v>
      </c>
      <c r="F28" s="194">
        <f>F29+F31</f>
        <v>2988</v>
      </c>
    </row>
    <row r="29" spans="2:6" x14ac:dyDescent="0.2">
      <c r="B29" s="33" t="s">
        <v>135</v>
      </c>
      <c r="C29" s="34" t="s">
        <v>136</v>
      </c>
      <c r="D29" s="195">
        <f>D30</f>
        <v>484</v>
      </c>
      <c r="E29" s="195">
        <f>E30</f>
        <v>484</v>
      </c>
      <c r="F29" s="196">
        <f>F30</f>
        <v>532</v>
      </c>
    </row>
    <row r="30" spans="2:6" ht="38.25" x14ac:dyDescent="0.2">
      <c r="B30" s="33" t="s">
        <v>137</v>
      </c>
      <c r="C30" s="34" t="s">
        <v>138</v>
      </c>
      <c r="D30" s="195">
        <v>484</v>
      </c>
      <c r="E30" s="195">
        <v>484</v>
      </c>
      <c r="F30" s="196">
        <v>532</v>
      </c>
    </row>
    <row r="31" spans="2:6" x14ac:dyDescent="0.2">
      <c r="B31" s="33" t="s">
        <v>139</v>
      </c>
      <c r="C31" s="34" t="s">
        <v>140</v>
      </c>
      <c r="D31" s="195">
        <f>D32+D34</f>
        <v>1966</v>
      </c>
      <c r="E31" s="195">
        <f>E32+E34</f>
        <v>2197</v>
      </c>
      <c r="F31" s="196">
        <f>F32+F34</f>
        <v>2456</v>
      </c>
    </row>
    <row r="32" spans="2:6" x14ac:dyDescent="0.2">
      <c r="B32" s="33" t="s">
        <v>141</v>
      </c>
      <c r="C32" s="34" t="s">
        <v>142</v>
      </c>
      <c r="D32" s="195">
        <f>D33</f>
        <v>1137</v>
      </c>
      <c r="E32" s="195">
        <f>E33</f>
        <v>1250</v>
      </c>
      <c r="F32" s="196">
        <f>F33</f>
        <v>1376</v>
      </c>
    </row>
    <row r="33" spans="2:6" ht="38.25" x14ac:dyDescent="0.2">
      <c r="B33" s="33" t="s">
        <v>143</v>
      </c>
      <c r="C33" s="34" t="s">
        <v>144</v>
      </c>
      <c r="D33" s="195">
        <v>1137</v>
      </c>
      <c r="E33" s="195">
        <v>1250</v>
      </c>
      <c r="F33" s="196">
        <v>1376</v>
      </c>
    </row>
    <row r="34" spans="2:6" x14ac:dyDescent="0.2">
      <c r="B34" s="33" t="s">
        <v>145</v>
      </c>
      <c r="C34" s="34" t="s">
        <v>146</v>
      </c>
      <c r="D34" s="195">
        <f>D35</f>
        <v>829</v>
      </c>
      <c r="E34" s="195">
        <f>E35</f>
        <v>947</v>
      </c>
      <c r="F34" s="196">
        <f>F35</f>
        <v>1080</v>
      </c>
    </row>
    <row r="35" spans="2:6" ht="38.25" x14ac:dyDescent="0.2">
      <c r="B35" s="33" t="s">
        <v>147</v>
      </c>
      <c r="C35" s="34" t="s">
        <v>148</v>
      </c>
      <c r="D35" s="195">
        <v>829</v>
      </c>
      <c r="E35" s="195">
        <v>947</v>
      </c>
      <c r="F35" s="196">
        <v>1080</v>
      </c>
    </row>
    <row r="36" spans="2:6" s="28" customFormat="1" x14ac:dyDescent="0.2">
      <c r="B36" s="29" t="s">
        <v>149</v>
      </c>
      <c r="C36" s="30" t="s">
        <v>150</v>
      </c>
      <c r="D36" s="193">
        <f t="shared" ref="D36:F37" si="0">D37</f>
        <v>21</v>
      </c>
      <c r="E36" s="193">
        <f t="shared" si="0"/>
        <v>21</v>
      </c>
      <c r="F36" s="194">
        <f t="shared" si="0"/>
        <v>21</v>
      </c>
    </row>
    <row r="37" spans="2:6" ht="38.25" x14ac:dyDescent="0.2">
      <c r="B37" s="33" t="s">
        <v>151</v>
      </c>
      <c r="C37" s="34" t="s">
        <v>152</v>
      </c>
      <c r="D37" s="195">
        <f t="shared" si="0"/>
        <v>21</v>
      </c>
      <c r="E37" s="195">
        <f t="shared" si="0"/>
        <v>21</v>
      </c>
      <c r="F37" s="196">
        <f t="shared" si="0"/>
        <v>21</v>
      </c>
    </row>
    <row r="38" spans="2:6" ht="63.75" x14ac:dyDescent="0.2">
      <c r="B38" s="33" t="s">
        <v>153</v>
      </c>
      <c r="C38" s="34" t="s">
        <v>154</v>
      </c>
      <c r="D38" s="195">
        <v>21</v>
      </c>
      <c r="E38" s="195">
        <v>21</v>
      </c>
      <c r="F38" s="196">
        <v>21</v>
      </c>
    </row>
    <row r="39" spans="2:6" s="28" customFormat="1" ht="38.25" x14ac:dyDescent="0.2">
      <c r="B39" s="29" t="s">
        <v>155</v>
      </c>
      <c r="C39" s="30" t="s">
        <v>156</v>
      </c>
      <c r="D39" s="193">
        <f t="shared" ref="D39:F41" si="1">D40</f>
        <v>0</v>
      </c>
      <c r="E39" s="193">
        <f t="shared" si="1"/>
        <v>0</v>
      </c>
      <c r="F39" s="194">
        <f t="shared" si="1"/>
        <v>0</v>
      </c>
    </row>
    <row r="40" spans="2:6" x14ac:dyDescent="0.2">
      <c r="B40" s="33" t="s">
        <v>157</v>
      </c>
      <c r="C40" s="34" t="s">
        <v>158</v>
      </c>
      <c r="D40" s="195">
        <f t="shared" si="1"/>
        <v>0</v>
      </c>
      <c r="E40" s="195">
        <f t="shared" si="1"/>
        <v>0</v>
      </c>
      <c r="F40" s="196">
        <f t="shared" si="1"/>
        <v>0</v>
      </c>
    </row>
    <row r="41" spans="2:6" ht="25.5" x14ac:dyDescent="0.2">
      <c r="B41" s="33" t="s">
        <v>159</v>
      </c>
      <c r="C41" s="34" t="s">
        <v>160</v>
      </c>
      <c r="D41" s="195">
        <f t="shared" si="1"/>
        <v>0</v>
      </c>
      <c r="E41" s="195">
        <f t="shared" si="1"/>
        <v>0</v>
      </c>
      <c r="F41" s="196">
        <f t="shared" si="1"/>
        <v>0</v>
      </c>
    </row>
    <row r="42" spans="2:6" ht="38.25" x14ac:dyDescent="0.2">
      <c r="B42" s="33" t="s">
        <v>161</v>
      </c>
      <c r="C42" s="34" t="s">
        <v>162</v>
      </c>
      <c r="D42" s="195"/>
      <c r="E42" s="195"/>
      <c r="F42" s="196"/>
    </row>
    <row r="43" spans="2:6" s="28" customFormat="1" ht="38.25" x14ac:dyDescent="0.2">
      <c r="B43" s="29" t="s">
        <v>163</v>
      </c>
      <c r="C43" s="30" t="s">
        <v>164</v>
      </c>
      <c r="D43" s="193">
        <f>D44+D49</f>
        <v>39</v>
      </c>
      <c r="E43" s="193">
        <f>E44+E49</f>
        <v>39</v>
      </c>
      <c r="F43" s="194">
        <f>F44+F49</f>
        <v>39</v>
      </c>
    </row>
    <row r="44" spans="2:6" ht="76.5" x14ac:dyDescent="0.2">
      <c r="B44" s="33" t="s">
        <v>165</v>
      </c>
      <c r="C44" s="34" t="s">
        <v>166</v>
      </c>
      <c r="D44" s="195">
        <f>D45+D47</f>
        <v>39</v>
      </c>
      <c r="E44" s="195">
        <f>E45+E47</f>
        <v>39</v>
      </c>
      <c r="F44" s="196">
        <f>F45+F47</f>
        <v>39</v>
      </c>
    </row>
    <row r="45" spans="2:6" ht="76.5" x14ac:dyDescent="0.2">
      <c r="B45" s="33" t="s">
        <v>167</v>
      </c>
      <c r="C45" s="34" t="s">
        <v>168</v>
      </c>
      <c r="D45" s="195">
        <f>D46</f>
        <v>25</v>
      </c>
      <c r="E45" s="195">
        <f>E46</f>
        <v>25</v>
      </c>
      <c r="F45" s="196">
        <f>F46</f>
        <v>25</v>
      </c>
    </row>
    <row r="46" spans="2:6" ht="63.75" x14ac:dyDescent="0.2">
      <c r="B46" s="33" t="s">
        <v>169</v>
      </c>
      <c r="C46" s="34" t="s">
        <v>170</v>
      </c>
      <c r="D46" s="195">
        <v>25</v>
      </c>
      <c r="E46" s="195">
        <v>25</v>
      </c>
      <c r="F46" s="196">
        <v>25</v>
      </c>
    </row>
    <row r="47" spans="2:6" ht="76.5" x14ac:dyDescent="0.2">
      <c r="B47" s="33" t="s">
        <v>171</v>
      </c>
      <c r="C47" s="34" t="s">
        <v>172</v>
      </c>
      <c r="D47" s="195">
        <f>D48</f>
        <v>14</v>
      </c>
      <c r="E47" s="195">
        <f>E48</f>
        <v>14</v>
      </c>
      <c r="F47" s="196">
        <f>F48</f>
        <v>14</v>
      </c>
    </row>
    <row r="48" spans="2:6" ht="63.75" x14ac:dyDescent="0.2">
      <c r="B48" s="33" t="s">
        <v>173</v>
      </c>
      <c r="C48" s="34" t="s">
        <v>174</v>
      </c>
      <c r="D48" s="195">
        <v>14</v>
      </c>
      <c r="E48" s="195">
        <v>14</v>
      </c>
      <c r="F48" s="196">
        <v>14</v>
      </c>
    </row>
    <row r="49" spans="2:6" ht="25.5" x14ac:dyDescent="0.2">
      <c r="B49" s="33" t="s">
        <v>175</v>
      </c>
      <c r="C49" s="34" t="s">
        <v>176</v>
      </c>
      <c r="D49" s="195">
        <f t="shared" ref="D49:F50" si="2">D50</f>
        <v>0</v>
      </c>
      <c r="E49" s="195">
        <f t="shared" si="2"/>
        <v>0</v>
      </c>
      <c r="F49" s="196">
        <f t="shared" si="2"/>
        <v>0</v>
      </c>
    </row>
    <row r="50" spans="2:6" ht="38.25" x14ac:dyDescent="0.2">
      <c r="B50" s="33" t="s">
        <v>177</v>
      </c>
      <c r="C50" s="34" t="s">
        <v>178</v>
      </c>
      <c r="D50" s="195">
        <f t="shared" si="2"/>
        <v>0</v>
      </c>
      <c r="E50" s="195">
        <f t="shared" si="2"/>
        <v>0</v>
      </c>
      <c r="F50" s="196">
        <f t="shared" si="2"/>
        <v>0</v>
      </c>
    </row>
    <row r="51" spans="2:6" ht="51" x14ac:dyDescent="0.2">
      <c r="B51" s="33" t="s">
        <v>179</v>
      </c>
      <c r="C51" s="34" t="s">
        <v>180</v>
      </c>
      <c r="D51" s="195"/>
      <c r="E51" s="195"/>
      <c r="F51" s="196"/>
    </row>
    <row r="52" spans="2:6" s="28" customFormat="1" ht="25.5" x14ac:dyDescent="0.2">
      <c r="B52" s="29" t="s">
        <v>181</v>
      </c>
      <c r="C52" s="30" t="s">
        <v>182</v>
      </c>
      <c r="D52" s="193">
        <f>D53</f>
        <v>0</v>
      </c>
      <c r="E52" s="193">
        <f>E53</f>
        <v>0</v>
      </c>
      <c r="F52" s="194">
        <f>F53</f>
        <v>0</v>
      </c>
    </row>
    <row r="53" spans="2:6" x14ac:dyDescent="0.2">
      <c r="B53" s="33" t="s">
        <v>183</v>
      </c>
      <c r="C53" s="34" t="s">
        <v>184</v>
      </c>
      <c r="D53" s="195">
        <f>D56+D54</f>
        <v>0</v>
      </c>
      <c r="E53" s="195">
        <f>E56+E54</f>
        <v>0</v>
      </c>
      <c r="F53" s="196">
        <f>F56+F54</f>
        <v>0</v>
      </c>
    </row>
    <row r="54" spans="2:6" ht="25.5" x14ac:dyDescent="0.2">
      <c r="B54" s="33" t="s">
        <v>185</v>
      </c>
      <c r="C54" s="34" t="s">
        <v>186</v>
      </c>
      <c r="D54" s="195">
        <f>D55</f>
        <v>0</v>
      </c>
      <c r="E54" s="195">
        <f>E55</f>
        <v>0</v>
      </c>
      <c r="F54" s="196">
        <f>F55</f>
        <v>0</v>
      </c>
    </row>
    <row r="55" spans="2:6" ht="38.25" x14ac:dyDescent="0.2">
      <c r="B55" s="33" t="s">
        <v>187</v>
      </c>
      <c r="C55" s="34" t="s">
        <v>188</v>
      </c>
      <c r="D55" s="195"/>
      <c r="E55" s="195"/>
      <c r="F55" s="196"/>
    </row>
    <row r="56" spans="2:6" x14ac:dyDescent="0.2">
      <c r="B56" s="33" t="s">
        <v>189</v>
      </c>
      <c r="C56" s="34" t="s">
        <v>190</v>
      </c>
      <c r="D56" s="195">
        <f>D57</f>
        <v>0</v>
      </c>
      <c r="E56" s="195">
        <f>E57</f>
        <v>0</v>
      </c>
      <c r="F56" s="196">
        <f>F57</f>
        <v>0</v>
      </c>
    </row>
    <row r="57" spans="2:6" ht="25.5" x14ac:dyDescent="0.2">
      <c r="B57" s="33" t="s">
        <v>191</v>
      </c>
      <c r="C57" s="34" t="s">
        <v>192</v>
      </c>
      <c r="D57" s="195"/>
      <c r="E57" s="195"/>
      <c r="F57" s="196"/>
    </row>
    <row r="58" spans="2:6" s="28" customFormat="1" ht="25.5" x14ac:dyDescent="0.2">
      <c r="B58" s="29" t="s">
        <v>193</v>
      </c>
      <c r="C58" s="30" t="s">
        <v>194</v>
      </c>
      <c r="D58" s="193">
        <f>D59+D62</f>
        <v>0</v>
      </c>
      <c r="E58" s="193">
        <f>E59+E62</f>
        <v>0</v>
      </c>
      <c r="F58" s="194">
        <f>F59+F62</f>
        <v>0</v>
      </c>
    </row>
    <row r="59" spans="2:6" ht="76.5" x14ac:dyDescent="0.2">
      <c r="B59" s="33" t="s">
        <v>195</v>
      </c>
      <c r="C59" s="34" t="s">
        <v>196</v>
      </c>
      <c r="D59" s="195">
        <f t="shared" ref="D59:F60" si="3">D60</f>
        <v>0</v>
      </c>
      <c r="E59" s="195">
        <f t="shared" si="3"/>
        <v>0</v>
      </c>
      <c r="F59" s="196">
        <f t="shared" si="3"/>
        <v>0</v>
      </c>
    </row>
    <row r="60" spans="2:6" ht="89.25" x14ac:dyDescent="0.2">
      <c r="B60" s="33" t="s">
        <v>197</v>
      </c>
      <c r="C60" s="34" t="s">
        <v>198</v>
      </c>
      <c r="D60" s="195">
        <f t="shared" si="3"/>
        <v>0</v>
      </c>
      <c r="E60" s="195">
        <f t="shared" si="3"/>
        <v>0</v>
      </c>
      <c r="F60" s="196">
        <f t="shared" si="3"/>
        <v>0</v>
      </c>
    </row>
    <row r="61" spans="2:6" ht="76.5" x14ac:dyDescent="0.2">
      <c r="B61" s="33" t="s">
        <v>199</v>
      </c>
      <c r="C61" s="34" t="s">
        <v>200</v>
      </c>
      <c r="D61" s="195"/>
      <c r="E61" s="195"/>
      <c r="F61" s="196"/>
    </row>
    <row r="62" spans="2:6" ht="25.5" x14ac:dyDescent="0.2">
      <c r="B62" s="33" t="s">
        <v>201</v>
      </c>
      <c r="C62" s="34" t="s">
        <v>202</v>
      </c>
      <c r="D62" s="195">
        <f t="shared" ref="D62:F63" si="4">D63</f>
        <v>0</v>
      </c>
      <c r="E62" s="195">
        <f t="shared" si="4"/>
        <v>0</v>
      </c>
      <c r="F62" s="196">
        <f t="shared" si="4"/>
        <v>0</v>
      </c>
    </row>
    <row r="63" spans="2:6" ht="51" x14ac:dyDescent="0.2">
      <c r="B63" s="33" t="s">
        <v>203</v>
      </c>
      <c r="C63" s="34" t="s">
        <v>204</v>
      </c>
      <c r="D63" s="195">
        <f t="shared" si="4"/>
        <v>0</v>
      </c>
      <c r="E63" s="195">
        <f t="shared" si="4"/>
        <v>0</v>
      </c>
      <c r="F63" s="196">
        <f t="shared" si="4"/>
        <v>0</v>
      </c>
    </row>
    <row r="64" spans="2:6" ht="51" x14ac:dyDescent="0.2">
      <c r="B64" s="33" t="s">
        <v>205</v>
      </c>
      <c r="C64" s="34" t="s">
        <v>206</v>
      </c>
      <c r="D64" s="195"/>
      <c r="E64" s="195"/>
      <c r="F64" s="196"/>
    </row>
    <row r="65" spans="2:6" x14ac:dyDescent="0.2">
      <c r="B65" s="37" t="s">
        <v>207</v>
      </c>
      <c r="C65" s="38" t="s">
        <v>208</v>
      </c>
      <c r="D65" s="195">
        <f t="shared" ref="D65:F66" si="5">D66</f>
        <v>0</v>
      </c>
      <c r="E65" s="195">
        <f t="shared" si="5"/>
        <v>0</v>
      </c>
      <c r="F65" s="196">
        <f t="shared" si="5"/>
        <v>0</v>
      </c>
    </row>
    <row r="66" spans="2:6" ht="38.25" x14ac:dyDescent="0.2">
      <c r="B66" s="39" t="s">
        <v>209</v>
      </c>
      <c r="C66" s="40" t="s">
        <v>210</v>
      </c>
      <c r="D66" s="195">
        <f t="shared" si="5"/>
        <v>0</v>
      </c>
      <c r="E66" s="195">
        <f t="shared" si="5"/>
        <v>0</v>
      </c>
      <c r="F66" s="196">
        <f t="shared" si="5"/>
        <v>0</v>
      </c>
    </row>
    <row r="67" spans="2:6" ht="38.25" x14ac:dyDescent="0.2">
      <c r="B67" s="41" t="s">
        <v>211</v>
      </c>
      <c r="C67" s="42" t="s">
        <v>212</v>
      </c>
      <c r="D67" s="195"/>
      <c r="E67" s="195"/>
      <c r="F67" s="196"/>
    </row>
    <row r="68" spans="2:6" s="28" customFormat="1" x14ac:dyDescent="0.2">
      <c r="B68" s="29" t="s">
        <v>213</v>
      </c>
      <c r="C68" s="30" t="s">
        <v>214</v>
      </c>
      <c r="D68" s="193">
        <f t="shared" ref="D68:F69" si="6">D69</f>
        <v>0</v>
      </c>
      <c r="E68" s="193">
        <f t="shared" si="6"/>
        <v>0</v>
      </c>
      <c r="F68" s="194">
        <f t="shared" si="6"/>
        <v>0</v>
      </c>
    </row>
    <row r="69" spans="2:6" ht="25.5" x14ac:dyDescent="0.2">
      <c r="B69" s="33" t="s">
        <v>215</v>
      </c>
      <c r="C69" s="34" t="s">
        <v>216</v>
      </c>
      <c r="D69" s="195">
        <f t="shared" si="6"/>
        <v>0</v>
      </c>
      <c r="E69" s="195">
        <f t="shared" si="6"/>
        <v>0</v>
      </c>
      <c r="F69" s="196">
        <f t="shared" si="6"/>
        <v>0</v>
      </c>
    </row>
    <row r="70" spans="2:6" ht="38.25" x14ac:dyDescent="0.2">
      <c r="B70" s="33" t="s">
        <v>217</v>
      </c>
      <c r="C70" s="34" t="s">
        <v>218</v>
      </c>
      <c r="D70" s="195"/>
      <c r="E70" s="195"/>
      <c r="F70" s="196"/>
    </row>
    <row r="71" spans="2:6" s="28" customFormat="1" x14ac:dyDescent="0.2">
      <c r="B71" s="29" t="s">
        <v>219</v>
      </c>
      <c r="C71" s="30" t="s">
        <v>220</v>
      </c>
      <c r="D71" s="193">
        <f>D72+D74</f>
        <v>0</v>
      </c>
      <c r="E71" s="193">
        <f>E72+E74</f>
        <v>0</v>
      </c>
      <c r="F71" s="194">
        <f>F72+F74</f>
        <v>0</v>
      </c>
    </row>
    <row r="72" spans="2:6" x14ac:dyDescent="0.2">
      <c r="B72" s="33" t="s">
        <v>221</v>
      </c>
      <c r="C72" s="34" t="s">
        <v>222</v>
      </c>
      <c r="D72" s="195">
        <f>D73</f>
        <v>0</v>
      </c>
      <c r="E72" s="195">
        <f>E73</f>
        <v>0</v>
      </c>
      <c r="F72" s="196">
        <f>F73</f>
        <v>0</v>
      </c>
    </row>
    <row r="73" spans="2:6" ht="25.5" x14ac:dyDescent="0.2">
      <c r="B73" s="33" t="s">
        <v>223</v>
      </c>
      <c r="C73" s="34" t="s">
        <v>224</v>
      </c>
      <c r="D73" s="195"/>
      <c r="E73" s="195"/>
      <c r="F73" s="196"/>
    </row>
    <row r="74" spans="2:6" x14ac:dyDescent="0.2">
      <c r="B74" s="33" t="s">
        <v>225</v>
      </c>
      <c r="C74" s="34" t="s">
        <v>226</v>
      </c>
      <c r="D74" s="195">
        <f>D75</f>
        <v>0</v>
      </c>
      <c r="E74" s="195">
        <f>E75</f>
        <v>0</v>
      </c>
      <c r="F74" s="196">
        <f>F75</f>
        <v>0</v>
      </c>
    </row>
    <row r="75" spans="2:6" ht="25.5" x14ac:dyDescent="0.2">
      <c r="B75" s="33" t="s">
        <v>227</v>
      </c>
      <c r="C75" s="34" t="s">
        <v>228</v>
      </c>
      <c r="D75" s="195"/>
      <c r="E75" s="195"/>
      <c r="F75" s="196"/>
    </row>
    <row r="76" spans="2:6" s="28" customFormat="1" x14ac:dyDescent="0.2">
      <c r="B76" s="43" t="s">
        <v>229</v>
      </c>
      <c r="C76" s="44" t="s">
        <v>230</v>
      </c>
      <c r="D76" s="45">
        <f>D77+D110</f>
        <v>8584.9</v>
      </c>
      <c r="E76" s="45">
        <f>E77+E110</f>
        <v>6271.1</v>
      </c>
      <c r="F76" s="45">
        <f>F77+F110</f>
        <v>5379.3</v>
      </c>
    </row>
    <row r="77" spans="2:6" s="28" customFormat="1" ht="38.25" x14ac:dyDescent="0.2">
      <c r="B77" s="29" t="s">
        <v>231</v>
      </c>
      <c r="C77" s="30" t="s">
        <v>232</v>
      </c>
      <c r="D77" s="31">
        <f>D78+D91+D96+D88</f>
        <v>8584.9</v>
      </c>
      <c r="E77" s="31">
        <f>E78+E91+E98+E88</f>
        <v>6271.1</v>
      </c>
      <c r="F77" s="31">
        <f>F78+F91+F98+F88</f>
        <v>5379.3</v>
      </c>
    </row>
    <row r="78" spans="2:6" ht="25.5" x14ac:dyDescent="0.2">
      <c r="B78" s="33" t="s">
        <v>357</v>
      </c>
      <c r="C78" s="46" t="s">
        <v>233</v>
      </c>
      <c r="D78" s="47">
        <f>D79+D83</f>
        <v>7878.7</v>
      </c>
      <c r="E78" s="47">
        <f>E79+E83</f>
        <v>5908</v>
      </c>
      <c r="F78" s="48">
        <f>F79+F83</f>
        <v>5004</v>
      </c>
    </row>
    <row r="79" spans="2:6" x14ac:dyDescent="0.2">
      <c r="B79" s="33" t="s">
        <v>378</v>
      </c>
      <c r="C79" s="34" t="s">
        <v>234</v>
      </c>
      <c r="D79" s="35">
        <f>D80</f>
        <v>6969.7</v>
      </c>
      <c r="E79" s="35">
        <f>E80</f>
        <v>5908</v>
      </c>
      <c r="F79" s="36">
        <f>F80</f>
        <v>5004</v>
      </c>
    </row>
    <row r="80" spans="2:6" ht="25.5" x14ac:dyDescent="0.2">
      <c r="B80" s="33" t="s">
        <v>379</v>
      </c>
      <c r="C80" s="34" t="s">
        <v>235</v>
      </c>
      <c r="D80" s="35">
        <f>D81+D82</f>
        <v>6969.7</v>
      </c>
      <c r="E80" s="35">
        <f>E81+E82</f>
        <v>5908</v>
      </c>
      <c r="F80" s="36">
        <f>F81+F82</f>
        <v>5004</v>
      </c>
    </row>
    <row r="81" spans="2:6" ht="25.5" x14ac:dyDescent="0.2">
      <c r="B81" s="49" t="s">
        <v>380</v>
      </c>
      <c r="C81" s="50" t="s">
        <v>236</v>
      </c>
      <c r="D81" s="35">
        <v>6877</v>
      </c>
      <c r="E81" s="198">
        <v>5815</v>
      </c>
      <c r="F81" s="36">
        <v>4910</v>
      </c>
    </row>
    <row r="82" spans="2:6" ht="25.5" x14ac:dyDescent="0.2">
      <c r="B82" s="49" t="s">
        <v>381</v>
      </c>
      <c r="C82" s="50" t="s">
        <v>237</v>
      </c>
      <c r="D82" s="35">
        <v>92.7</v>
      </c>
      <c r="E82" s="35">
        <v>93</v>
      </c>
      <c r="F82" s="36">
        <v>94</v>
      </c>
    </row>
    <row r="83" spans="2:6" ht="25.5" x14ac:dyDescent="0.2">
      <c r="B83" s="33" t="s">
        <v>358</v>
      </c>
      <c r="C83" s="34" t="s">
        <v>238</v>
      </c>
      <c r="D83" s="35">
        <f>D84+D86+D87</f>
        <v>909</v>
      </c>
      <c r="E83" s="35">
        <f>E85</f>
        <v>0</v>
      </c>
      <c r="F83" s="36">
        <f>F85</f>
        <v>0</v>
      </c>
    </row>
    <row r="84" spans="2:6" ht="38.25" x14ac:dyDescent="0.2">
      <c r="B84" s="33" t="s">
        <v>333</v>
      </c>
      <c r="C84" s="51" t="s">
        <v>326</v>
      </c>
      <c r="D84" s="35">
        <v>326</v>
      </c>
      <c r="E84" s="35"/>
      <c r="F84" s="36"/>
    </row>
    <row r="85" spans="2:6" ht="38.25" x14ac:dyDescent="0.2">
      <c r="B85" s="33" t="s">
        <v>239</v>
      </c>
      <c r="C85" s="51" t="s">
        <v>240</v>
      </c>
      <c r="D85" s="35"/>
      <c r="E85" s="35"/>
      <c r="F85" s="36"/>
    </row>
    <row r="86" spans="2:6" ht="51" x14ac:dyDescent="0.2">
      <c r="B86" s="33" t="s">
        <v>372</v>
      </c>
      <c r="C86" s="51" t="s">
        <v>373</v>
      </c>
      <c r="D86" s="35">
        <v>557</v>
      </c>
      <c r="E86" s="35"/>
      <c r="F86" s="36"/>
    </row>
    <row r="87" spans="2:6" ht="38.25" x14ac:dyDescent="0.2">
      <c r="B87" s="197" t="s">
        <v>559</v>
      </c>
      <c r="C87" s="51" t="s">
        <v>560</v>
      </c>
      <c r="D87" s="35">
        <v>26</v>
      </c>
      <c r="E87" s="35"/>
      <c r="F87" s="36"/>
    </row>
    <row r="88" spans="2:6" ht="25.5" x14ac:dyDescent="0.2">
      <c r="B88" s="33" t="s">
        <v>369</v>
      </c>
      <c r="C88" s="46" t="s">
        <v>371</v>
      </c>
      <c r="D88" s="35">
        <f t="shared" ref="D88:F89" si="7">D89</f>
        <v>0</v>
      </c>
      <c r="E88" s="35">
        <f t="shared" si="7"/>
        <v>0</v>
      </c>
      <c r="F88" s="36">
        <f t="shared" si="7"/>
        <v>0</v>
      </c>
    </row>
    <row r="89" spans="2:6" x14ac:dyDescent="0.2">
      <c r="B89" s="33" t="s">
        <v>555</v>
      </c>
      <c r="C89" s="51" t="s">
        <v>436</v>
      </c>
      <c r="D89" s="35">
        <f t="shared" si="7"/>
        <v>0</v>
      </c>
      <c r="E89" s="35">
        <f t="shared" si="7"/>
        <v>0</v>
      </c>
      <c r="F89" s="36">
        <f t="shared" si="7"/>
        <v>0</v>
      </c>
    </row>
    <row r="90" spans="2:6" ht="102" x14ac:dyDescent="0.2">
      <c r="B90" s="33" t="s">
        <v>341</v>
      </c>
      <c r="C90" s="51" t="s">
        <v>556</v>
      </c>
      <c r="D90" s="35"/>
      <c r="E90" s="35"/>
      <c r="F90" s="36"/>
    </row>
    <row r="91" spans="2:6" ht="25.5" x14ac:dyDescent="0.2">
      <c r="B91" s="52" t="s">
        <v>359</v>
      </c>
      <c r="C91" s="46" t="s">
        <v>241</v>
      </c>
      <c r="D91" s="35">
        <f>D92+D94</f>
        <v>347.2</v>
      </c>
      <c r="E91" s="35">
        <f>E92+E94</f>
        <v>363.09999999999997</v>
      </c>
      <c r="F91" s="36">
        <f>F92+F94</f>
        <v>375.29999999999995</v>
      </c>
    </row>
    <row r="92" spans="2:6" ht="25.5" x14ac:dyDescent="0.2">
      <c r="B92" s="33" t="s">
        <v>360</v>
      </c>
      <c r="C92" s="34" t="s">
        <v>242</v>
      </c>
      <c r="D92" s="35">
        <f>D93</f>
        <v>25.9</v>
      </c>
      <c r="E92" s="35">
        <f>E93</f>
        <v>26.9</v>
      </c>
      <c r="F92" s="36">
        <f>F93</f>
        <v>26.9</v>
      </c>
    </row>
    <row r="93" spans="2:6" ht="38.25" x14ac:dyDescent="0.2">
      <c r="B93" s="33" t="s">
        <v>343</v>
      </c>
      <c r="C93" s="34" t="s">
        <v>243</v>
      </c>
      <c r="D93" s="35">
        <v>25.9</v>
      </c>
      <c r="E93" s="35">
        <v>26.9</v>
      </c>
      <c r="F93" s="36">
        <v>26.9</v>
      </c>
    </row>
    <row r="94" spans="2:6" ht="38.25" x14ac:dyDescent="0.2">
      <c r="B94" s="33" t="s">
        <v>361</v>
      </c>
      <c r="C94" s="34" t="s">
        <v>244</v>
      </c>
      <c r="D94" s="35">
        <f>D95</f>
        <v>321.3</v>
      </c>
      <c r="E94" s="35">
        <f>E95</f>
        <v>336.2</v>
      </c>
      <c r="F94" s="36">
        <f>F95</f>
        <v>348.4</v>
      </c>
    </row>
    <row r="95" spans="2:6" ht="38.25" x14ac:dyDescent="0.2">
      <c r="B95" s="33" t="s">
        <v>337</v>
      </c>
      <c r="C95" s="34" t="s">
        <v>245</v>
      </c>
      <c r="D95" s="35">
        <v>321.3</v>
      </c>
      <c r="E95" s="35">
        <v>336.2</v>
      </c>
      <c r="F95" s="36">
        <v>348.4</v>
      </c>
    </row>
    <row r="96" spans="2:6" x14ac:dyDescent="0.2">
      <c r="B96" s="29" t="s">
        <v>324</v>
      </c>
      <c r="C96" s="30" t="s">
        <v>325</v>
      </c>
      <c r="D96" s="31">
        <f>D97</f>
        <v>359</v>
      </c>
      <c r="E96" s="31">
        <f>E97</f>
        <v>0</v>
      </c>
      <c r="F96" s="32">
        <f>F97</f>
        <v>0</v>
      </c>
    </row>
    <row r="97" spans="2:6" ht="65.25" customHeight="1" x14ac:dyDescent="0.2">
      <c r="B97" s="33" t="s">
        <v>374</v>
      </c>
      <c r="C97" s="34" t="s">
        <v>375</v>
      </c>
      <c r="D97" s="35">
        <v>359</v>
      </c>
      <c r="E97" s="35"/>
      <c r="F97" s="36"/>
    </row>
    <row r="98" spans="2:6" hidden="1" x14ac:dyDescent="0.2">
      <c r="B98" s="52" t="s">
        <v>246</v>
      </c>
      <c r="C98" s="46" t="s">
        <v>247</v>
      </c>
      <c r="D98" s="47">
        <f>D99+D101</f>
        <v>0</v>
      </c>
      <c r="E98" s="47">
        <f>E99+E101</f>
        <v>0</v>
      </c>
      <c r="F98" s="47">
        <f>F99+F101</f>
        <v>0</v>
      </c>
    </row>
    <row r="99" spans="2:6" ht="51" hidden="1" x14ac:dyDescent="0.2">
      <c r="B99" s="33" t="s">
        <v>248</v>
      </c>
      <c r="C99" s="34" t="s">
        <v>249</v>
      </c>
      <c r="D99" s="35">
        <f>D100</f>
        <v>0</v>
      </c>
      <c r="E99" s="35">
        <f>E100</f>
        <v>0</v>
      </c>
      <c r="F99" s="36">
        <f>F100</f>
        <v>0</v>
      </c>
    </row>
    <row r="100" spans="2:6" ht="51" hidden="1" x14ac:dyDescent="0.2">
      <c r="B100" s="33" t="s">
        <v>250</v>
      </c>
      <c r="C100" s="34" t="s">
        <v>251</v>
      </c>
      <c r="D100" s="35"/>
      <c r="E100" s="35"/>
      <c r="F100" s="36"/>
    </row>
    <row r="101" spans="2:6" ht="25.5" hidden="1" x14ac:dyDescent="0.2">
      <c r="B101" s="33" t="s">
        <v>252</v>
      </c>
      <c r="C101" s="34" t="s">
        <v>253</v>
      </c>
      <c r="D101" s="35">
        <f>SUM(D102:D109)</f>
        <v>0</v>
      </c>
      <c r="E101" s="35">
        <f>SUM(E102:E109)</f>
        <v>0</v>
      </c>
      <c r="F101" s="35">
        <f>SUM(F102:F109)</f>
        <v>0</v>
      </c>
    </row>
    <row r="102" spans="2:6" ht="38.25" hidden="1" x14ac:dyDescent="0.2">
      <c r="B102" s="33" t="s">
        <v>254</v>
      </c>
      <c r="C102" s="34" t="s">
        <v>255</v>
      </c>
      <c r="D102" s="35"/>
      <c r="E102" s="35"/>
      <c r="F102" s="36"/>
    </row>
    <row r="103" spans="2:6" ht="63.75" hidden="1" x14ac:dyDescent="0.2">
      <c r="B103" s="33" t="s">
        <v>256</v>
      </c>
      <c r="C103" s="34" t="s">
        <v>257</v>
      </c>
      <c r="D103" s="35"/>
      <c r="E103" s="35"/>
      <c r="F103" s="36"/>
    </row>
    <row r="104" spans="2:6" ht="38.25" hidden="1" x14ac:dyDescent="0.2">
      <c r="B104" s="33" t="s">
        <v>258</v>
      </c>
      <c r="C104" s="34" t="s">
        <v>259</v>
      </c>
      <c r="D104" s="35"/>
      <c r="E104" s="35"/>
      <c r="F104" s="36"/>
    </row>
    <row r="105" spans="2:6" ht="51" hidden="1" x14ac:dyDescent="0.2">
      <c r="B105" s="33" t="s">
        <v>260</v>
      </c>
      <c r="C105" s="34" t="s">
        <v>261</v>
      </c>
      <c r="D105" s="35"/>
      <c r="E105" s="35"/>
      <c r="F105" s="36"/>
    </row>
    <row r="106" spans="2:6" ht="51" hidden="1" x14ac:dyDescent="0.2">
      <c r="B106" s="33" t="s">
        <v>262</v>
      </c>
      <c r="C106" s="34" t="s">
        <v>263</v>
      </c>
      <c r="D106" s="35"/>
      <c r="E106" s="35"/>
      <c r="F106" s="36"/>
    </row>
    <row r="107" spans="2:6" ht="76.5" hidden="1" x14ac:dyDescent="0.2">
      <c r="B107" s="33" t="s">
        <v>264</v>
      </c>
      <c r="C107" s="34" t="s">
        <v>265</v>
      </c>
      <c r="D107" s="35"/>
      <c r="E107" s="35"/>
      <c r="F107" s="36"/>
    </row>
    <row r="108" spans="2:6" ht="51" hidden="1" x14ac:dyDescent="0.2">
      <c r="B108" s="33" t="s">
        <v>266</v>
      </c>
      <c r="C108" s="34" t="s">
        <v>267</v>
      </c>
      <c r="D108" s="35"/>
      <c r="E108" s="35"/>
      <c r="F108" s="36"/>
    </row>
    <row r="109" spans="2:6" ht="51" hidden="1" x14ac:dyDescent="0.2">
      <c r="B109" s="33" t="s">
        <v>268</v>
      </c>
      <c r="C109" s="34" t="s">
        <v>269</v>
      </c>
      <c r="D109" s="35"/>
      <c r="E109" s="35"/>
      <c r="F109" s="36"/>
    </row>
    <row r="110" spans="2:6" s="28" customFormat="1" x14ac:dyDescent="0.2">
      <c r="B110" s="29" t="s">
        <v>270</v>
      </c>
      <c r="C110" s="30" t="s">
        <v>271</v>
      </c>
      <c r="D110" s="31">
        <f>D111</f>
        <v>0</v>
      </c>
      <c r="E110" s="31">
        <f>E111</f>
        <v>0</v>
      </c>
      <c r="F110" s="32">
        <f>F111</f>
        <v>0</v>
      </c>
    </row>
    <row r="111" spans="2:6" ht="25.5" x14ac:dyDescent="0.2">
      <c r="B111" s="52" t="s">
        <v>362</v>
      </c>
      <c r="C111" s="46" t="s">
        <v>272</v>
      </c>
      <c r="D111" s="35">
        <f>D112+D113</f>
        <v>0</v>
      </c>
      <c r="E111" s="35">
        <f>E112+E113</f>
        <v>0</v>
      </c>
      <c r="F111" s="36">
        <f>F112+F113</f>
        <v>0</v>
      </c>
    </row>
    <row r="112" spans="2:6" ht="63.75" x14ac:dyDescent="0.2">
      <c r="B112" s="33" t="s">
        <v>363</v>
      </c>
      <c r="C112" s="34" t="s">
        <v>273</v>
      </c>
      <c r="D112" s="35"/>
      <c r="E112" s="35"/>
      <c r="F112" s="36"/>
    </row>
    <row r="113" spans="2:6" ht="25.5" x14ac:dyDescent="0.2">
      <c r="B113" s="33" t="s">
        <v>350</v>
      </c>
      <c r="C113" s="34" t="s">
        <v>272</v>
      </c>
      <c r="D113" s="35"/>
      <c r="E113" s="35"/>
      <c r="F113" s="36"/>
    </row>
    <row r="114" spans="2:6" ht="13.5" thickBot="1" x14ac:dyDescent="0.25">
      <c r="B114" s="53"/>
      <c r="C114" s="54" t="s">
        <v>274</v>
      </c>
      <c r="D114" s="55">
        <f>D76+D12</f>
        <v>24670.42</v>
      </c>
      <c r="E114" s="55">
        <f>E76+E12</f>
        <v>23017.360000000001</v>
      </c>
      <c r="F114" s="56">
        <f>F76+F12</f>
        <v>22862.62</v>
      </c>
    </row>
  </sheetData>
  <mergeCells count="4">
    <mergeCell ref="E3:F3"/>
    <mergeCell ref="B7:F7"/>
    <mergeCell ref="B8:F8"/>
    <mergeCell ref="B9:F9"/>
  </mergeCells>
  <pageMargins left="0.15748031496062992" right="0.15748031496062992" top="0.15748031496062992" bottom="0.15748031496062992" header="0.15748031496062992" footer="0.51181102362204722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"/>
  <sheetViews>
    <sheetView showGridLines="0" zoomScale="90" zoomScaleNormal="90" zoomScaleSheetLayoutView="80" workbookViewId="0">
      <selection activeCell="J12" sqref="J12"/>
    </sheetView>
  </sheetViews>
  <sheetFormatPr defaultColWidth="9.28515625" defaultRowHeight="15" x14ac:dyDescent="0.25"/>
  <cols>
    <col min="1" max="1" width="0.5703125" customWidth="1"/>
    <col min="2" max="2" width="50" customWidth="1"/>
    <col min="3" max="3" width="7.140625" customWidth="1"/>
    <col min="4" max="4" width="5.42578125" customWidth="1"/>
    <col min="5" max="5" width="5.28515625" customWidth="1"/>
    <col min="6" max="6" width="3.28515625" customWidth="1"/>
    <col min="7" max="7" width="2.5703125" customWidth="1"/>
    <col min="8" max="8" width="3.28515625" customWidth="1"/>
    <col min="9" max="9" width="6.7109375" customWidth="1"/>
    <col min="10" max="10" width="7.7109375" customWidth="1"/>
    <col min="11" max="11" width="16.42578125" customWidth="1"/>
    <col min="12" max="12" width="15.42578125" customWidth="1"/>
    <col min="13" max="13" width="17" customWidth="1"/>
    <col min="14" max="14" width="1.140625" customWidth="1"/>
    <col min="15" max="243" width="9.140625" customWidth="1"/>
  </cols>
  <sheetData>
    <row r="1" spans="1:14" ht="12.75" customHeight="1" x14ac:dyDescent="0.25">
      <c r="A1" s="268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59"/>
      <c r="M1" s="203"/>
      <c r="N1" s="203"/>
    </row>
    <row r="2" spans="1:14" ht="12.75" customHeight="1" x14ac:dyDescent="0.25">
      <c r="A2" s="268"/>
      <c r="B2" s="207"/>
      <c r="C2" s="207"/>
      <c r="D2" s="207"/>
      <c r="E2" s="207"/>
      <c r="F2" s="207"/>
      <c r="G2" s="207"/>
      <c r="H2" s="207"/>
      <c r="I2" s="207"/>
      <c r="J2" s="245" t="s">
        <v>514</v>
      </c>
      <c r="K2" s="203"/>
      <c r="L2" s="259"/>
      <c r="M2" s="203"/>
      <c r="N2" s="203"/>
    </row>
    <row r="3" spans="1:14" ht="12.75" customHeight="1" x14ac:dyDescent="0.25">
      <c r="A3" s="268"/>
      <c r="B3" s="207"/>
      <c r="C3" s="207"/>
      <c r="D3" s="207"/>
      <c r="E3" s="207"/>
      <c r="F3" s="207"/>
      <c r="G3" s="207"/>
      <c r="H3" s="207"/>
      <c r="I3" s="207"/>
      <c r="J3" s="245" t="s">
        <v>75</v>
      </c>
      <c r="K3" s="203"/>
      <c r="L3" s="259"/>
      <c r="M3" s="203"/>
      <c r="N3" s="203"/>
    </row>
    <row r="4" spans="1:14" ht="12.75" customHeight="1" x14ac:dyDescent="0.25">
      <c r="A4" s="268"/>
      <c r="B4" s="259" t="s">
        <v>566</v>
      </c>
      <c r="C4" s="207"/>
      <c r="D4" s="207"/>
      <c r="E4" s="207"/>
      <c r="F4" s="207"/>
      <c r="G4" s="207"/>
      <c r="H4" s="207"/>
      <c r="I4" s="207"/>
      <c r="J4" s="245" t="s">
        <v>74</v>
      </c>
      <c r="K4" s="203"/>
      <c r="L4" s="259"/>
      <c r="M4" s="204"/>
      <c r="N4" s="203"/>
    </row>
    <row r="5" spans="1:14" ht="12.75" customHeight="1" x14ac:dyDescent="0.25">
      <c r="A5" s="268"/>
      <c r="B5" s="207"/>
      <c r="C5" s="210"/>
      <c r="D5" s="210"/>
      <c r="E5" s="203"/>
      <c r="F5" s="224"/>
      <c r="G5" s="232"/>
      <c r="H5" s="232"/>
      <c r="I5" s="232"/>
      <c r="J5" s="245" t="s">
        <v>639</v>
      </c>
      <c r="K5" s="203"/>
      <c r="L5" s="232"/>
      <c r="M5" s="205"/>
      <c r="N5" s="203"/>
    </row>
    <row r="6" spans="1:14" ht="12.75" customHeight="1" x14ac:dyDescent="0.25">
      <c r="A6" s="268"/>
      <c r="B6" s="207"/>
      <c r="C6" s="207"/>
      <c r="D6" s="207"/>
      <c r="E6" s="207"/>
      <c r="F6" s="207"/>
      <c r="G6" s="207"/>
      <c r="H6" s="207"/>
      <c r="I6" s="207"/>
      <c r="J6" s="245" t="s">
        <v>586</v>
      </c>
      <c r="K6" s="203"/>
      <c r="L6" s="259"/>
      <c r="M6" s="203"/>
      <c r="N6" s="203"/>
    </row>
    <row r="7" spans="1:14" ht="12.75" customHeight="1" x14ac:dyDescent="0.25">
      <c r="A7" s="268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59"/>
      <c r="M7" s="204"/>
      <c r="N7" s="203"/>
    </row>
    <row r="8" spans="1:14" ht="12.75" customHeight="1" x14ac:dyDescent="0.25">
      <c r="A8" s="269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3"/>
    </row>
    <row r="9" spans="1:14" ht="37.5" customHeight="1" x14ac:dyDescent="0.3">
      <c r="A9" s="270"/>
      <c r="B9" s="475" t="s">
        <v>640</v>
      </c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203"/>
    </row>
    <row r="10" spans="1:14" ht="12.75" customHeight="1" x14ac:dyDescent="0.25">
      <c r="A10" s="271"/>
      <c r="B10" s="208"/>
      <c r="C10" s="208"/>
      <c r="D10" s="208"/>
      <c r="E10" s="206"/>
      <c r="F10" s="206"/>
      <c r="G10" s="206"/>
      <c r="H10" s="206"/>
      <c r="I10" s="206"/>
      <c r="J10" s="206"/>
      <c r="K10" s="206"/>
      <c r="L10" s="206"/>
      <c r="M10" s="206"/>
      <c r="N10" s="203"/>
    </row>
    <row r="11" spans="1:14" ht="12.75" customHeight="1" thickBot="1" x14ac:dyDescent="0.3">
      <c r="A11" s="26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60"/>
      <c r="M11" s="272" t="s">
        <v>73</v>
      </c>
      <c r="N11" s="203"/>
    </row>
    <row r="12" spans="1:14" ht="45.75" customHeight="1" x14ac:dyDescent="0.25">
      <c r="A12" s="273"/>
      <c r="B12" s="225" t="s">
        <v>72</v>
      </c>
      <c r="C12" s="246" t="s">
        <v>71</v>
      </c>
      <c r="D12" s="211" t="s">
        <v>70</v>
      </c>
      <c r="E12" s="211" t="s">
        <v>69</v>
      </c>
      <c r="F12" s="448" t="s">
        <v>68</v>
      </c>
      <c r="G12" s="448"/>
      <c r="H12" s="448"/>
      <c r="I12" s="448"/>
      <c r="J12" s="246" t="s">
        <v>67</v>
      </c>
      <c r="K12" s="211" t="s">
        <v>382</v>
      </c>
      <c r="L12" s="225" t="s">
        <v>384</v>
      </c>
      <c r="M12" s="267" t="s">
        <v>569</v>
      </c>
      <c r="N12" s="204"/>
    </row>
    <row r="13" spans="1:14" ht="52.5" customHeight="1" x14ac:dyDescent="0.25">
      <c r="A13" s="274"/>
      <c r="B13" s="275" t="s">
        <v>319</v>
      </c>
      <c r="C13" s="276">
        <v>616</v>
      </c>
      <c r="D13" s="213"/>
      <c r="E13" s="219" t="s">
        <v>1</v>
      </c>
      <c r="F13" s="227" t="s">
        <v>1</v>
      </c>
      <c r="G13" s="234" t="s">
        <v>1</v>
      </c>
      <c r="H13" s="227" t="s">
        <v>1</v>
      </c>
      <c r="I13" s="240" t="s">
        <v>1</v>
      </c>
      <c r="J13" s="248" t="s">
        <v>1</v>
      </c>
      <c r="K13" s="254">
        <f>24670427.38/1000</f>
        <v>24670.427379999997</v>
      </c>
      <c r="L13" s="254">
        <f>23017360/1000</f>
        <v>23017.360000000001</v>
      </c>
      <c r="M13" s="262">
        <f>22862620/1000</f>
        <v>22862.62</v>
      </c>
      <c r="N13" s="204"/>
    </row>
    <row r="14" spans="1:14" ht="27.75" customHeight="1" x14ac:dyDescent="0.25">
      <c r="A14" s="274"/>
      <c r="B14" s="277" t="s">
        <v>65</v>
      </c>
      <c r="C14" s="278">
        <v>616</v>
      </c>
      <c r="D14" s="212">
        <v>1</v>
      </c>
      <c r="E14" s="218" t="s">
        <v>1</v>
      </c>
      <c r="F14" s="226" t="s">
        <v>1</v>
      </c>
      <c r="G14" s="233" t="s">
        <v>1</v>
      </c>
      <c r="H14" s="226" t="s">
        <v>1</v>
      </c>
      <c r="I14" s="239" t="s">
        <v>1</v>
      </c>
      <c r="J14" s="247" t="s">
        <v>1</v>
      </c>
      <c r="K14" s="253">
        <f>13579287.38/1000</f>
        <v>13579.287380000002</v>
      </c>
      <c r="L14" s="253">
        <f>12650532.95/1000</f>
        <v>12650.532949999999</v>
      </c>
      <c r="M14" s="261">
        <f>11973432.92/1000</f>
        <v>11973.432919999999</v>
      </c>
      <c r="N14" s="204"/>
    </row>
    <row r="15" spans="1:14" ht="51.75" customHeight="1" x14ac:dyDescent="0.25">
      <c r="A15" s="274"/>
      <c r="B15" s="279" t="s">
        <v>64</v>
      </c>
      <c r="C15" s="280">
        <v>616</v>
      </c>
      <c r="D15" s="214">
        <v>1</v>
      </c>
      <c r="E15" s="220">
        <v>2</v>
      </c>
      <c r="F15" s="228" t="s">
        <v>1</v>
      </c>
      <c r="G15" s="235" t="s">
        <v>1</v>
      </c>
      <c r="H15" s="228" t="s">
        <v>1</v>
      </c>
      <c r="I15" s="241" t="s">
        <v>1</v>
      </c>
      <c r="J15" s="249" t="s">
        <v>1</v>
      </c>
      <c r="K15" s="255">
        <f t="shared" ref="K15:L20" si="0">1320729.48/1000</f>
        <v>1320.72948</v>
      </c>
      <c r="L15" s="255">
        <f t="shared" si="0"/>
        <v>1320.72948</v>
      </c>
      <c r="M15" s="263">
        <f t="shared" ref="M15:M20" si="1">1320679.45/1000</f>
        <v>1320.6794499999999</v>
      </c>
      <c r="N15" s="204"/>
    </row>
    <row r="16" spans="1:14" ht="83.25" customHeight="1" x14ac:dyDescent="0.25">
      <c r="A16" s="274"/>
      <c r="B16" s="281" t="s">
        <v>587</v>
      </c>
      <c r="C16" s="280">
        <v>616</v>
      </c>
      <c r="D16" s="214">
        <v>1</v>
      </c>
      <c r="E16" s="220">
        <v>2</v>
      </c>
      <c r="F16" s="228" t="s">
        <v>49</v>
      </c>
      <c r="G16" s="235" t="s">
        <v>5</v>
      </c>
      <c r="H16" s="228" t="s">
        <v>4</v>
      </c>
      <c r="I16" s="241" t="s">
        <v>3</v>
      </c>
      <c r="J16" s="249" t="s">
        <v>1</v>
      </c>
      <c r="K16" s="255">
        <f t="shared" si="0"/>
        <v>1320.72948</v>
      </c>
      <c r="L16" s="255">
        <f t="shared" si="0"/>
        <v>1320.72948</v>
      </c>
      <c r="M16" s="263">
        <f t="shared" si="1"/>
        <v>1320.6794499999999</v>
      </c>
      <c r="N16" s="204"/>
    </row>
    <row r="17" spans="1:14" ht="26.25" customHeight="1" x14ac:dyDescent="0.25">
      <c r="A17" s="274"/>
      <c r="B17" s="281" t="s">
        <v>588</v>
      </c>
      <c r="C17" s="280">
        <v>616</v>
      </c>
      <c r="D17" s="214">
        <v>1</v>
      </c>
      <c r="E17" s="220">
        <v>2</v>
      </c>
      <c r="F17" s="228" t="s">
        <v>49</v>
      </c>
      <c r="G17" s="235" t="s">
        <v>31</v>
      </c>
      <c r="H17" s="228" t="s">
        <v>4</v>
      </c>
      <c r="I17" s="241" t="s">
        <v>3</v>
      </c>
      <c r="J17" s="249" t="s">
        <v>1</v>
      </c>
      <c r="K17" s="255">
        <f t="shared" si="0"/>
        <v>1320.72948</v>
      </c>
      <c r="L17" s="255">
        <f t="shared" si="0"/>
        <v>1320.72948</v>
      </c>
      <c r="M17" s="263">
        <f t="shared" si="1"/>
        <v>1320.6794499999999</v>
      </c>
      <c r="N17" s="204"/>
    </row>
    <row r="18" spans="1:14" ht="55.5" customHeight="1" x14ac:dyDescent="0.25">
      <c r="A18" s="274"/>
      <c r="B18" s="281" t="s">
        <v>589</v>
      </c>
      <c r="C18" s="280">
        <v>616</v>
      </c>
      <c r="D18" s="214">
        <v>1</v>
      </c>
      <c r="E18" s="220">
        <v>2</v>
      </c>
      <c r="F18" s="228" t="s">
        <v>49</v>
      </c>
      <c r="G18" s="235" t="s">
        <v>31</v>
      </c>
      <c r="H18" s="228" t="s">
        <v>6</v>
      </c>
      <c r="I18" s="241" t="s">
        <v>3</v>
      </c>
      <c r="J18" s="249" t="s">
        <v>1</v>
      </c>
      <c r="K18" s="255">
        <f t="shared" si="0"/>
        <v>1320.72948</v>
      </c>
      <c r="L18" s="255">
        <f t="shared" si="0"/>
        <v>1320.72948</v>
      </c>
      <c r="M18" s="263">
        <f t="shared" si="1"/>
        <v>1320.6794499999999</v>
      </c>
      <c r="N18" s="204"/>
    </row>
    <row r="19" spans="1:14" ht="29.25" customHeight="1" x14ac:dyDescent="0.25">
      <c r="A19" s="274"/>
      <c r="B19" s="281" t="s">
        <v>590</v>
      </c>
      <c r="C19" s="280">
        <v>616</v>
      </c>
      <c r="D19" s="214">
        <v>1</v>
      </c>
      <c r="E19" s="220">
        <v>2</v>
      </c>
      <c r="F19" s="228" t="s">
        <v>49</v>
      </c>
      <c r="G19" s="235" t="s">
        <v>31</v>
      </c>
      <c r="H19" s="228" t="s">
        <v>6</v>
      </c>
      <c r="I19" s="241" t="s">
        <v>63</v>
      </c>
      <c r="J19" s="249" t="s">
        <v>1</v>
      </c>
      <c r="K19" s="255">
        <f t="shared" si="0"/>
        <v>1320.72948</v>
      </c>
      <c r="L19" s="255">
        <f t="shared" si="0"/>
        <v>1320.72948</v>
      </c>
      <c r="M19" s="263">
        <f t="shared" si="1"/>
        <v>1320.6794499999999</v>
      </c>
      <c r="N19" s="204"/>
    </row>
    <row r="20" spans="1:14" ht="39" customHeight="1" x14ac:dyDescent="0.25">
      <c r="A20" s="274"/>
      <c r="B20" s="282" t="s">
        <v>51</v>
      </c>
      <c r="C20" s="283">
        <v>616</v>
      </c>
      <c r="D20" s="215">
        <v>1</v>
      </c>
      <c r="E20" s="221">
        <v>2</v>
      </c>
      <c r="F20" s="229" t="s">
        <v>49</v>
      </c>
      <c r="G20" s="236" t="s">
        <v>31</v>
      </c>
      <c r="H20" s="229" t="s">
        <v>6</v>
      </c>
      <c r="I20" s="242" t="s">
        <v>63</v>
      </c>
      <c r="J20" s="250" t="s">
        <v>50</v>
      </c>
      <c r="K20" s="256">
        <f t="shared" si="0"/>
        <v>1320.72948</v>
      </c>
      <c r="L20" s="256">
        <f t="shared" si="0"/>
        <v>1320.72948</v>
      </c>
      <c r="M20" s="264">
        <f t="shared" si="1"/>
        <v>1320.6794499999999</v>
      </c>
      <c r="N20" s="204"/>
    </row>
    <row r="21" spans="1:14" ht="76.5" customHeight="1" x14ac:dyDescent="0.25">
      <c r="A21" s="274"/>
      <c r="B21" s="284" t="s">
        <v>62</v>
      </c>
      <c r="C21" s="285">
        <v>616</v>
      </c>
      <c r="D21" s="216">
        <v>1</v>
      </c>
      <c r="E21" s="222">
        <v>4</v>
      </c>
      <c r="F21" s="230" t="s">
        <v>1</v>
      </c>
      <c r="G21" s="237" t="s">
        <v>1</v>
      </c>
      <c r="H21" s="230" t="s">
        <v>1</v>
      </c>
      <c r="I21" s="243" t="s">
        <v>1</v>
      </c>
      <c r="J21" s="251" t="s">
        <v>1</v>
      </c>
      <c r="K21" s="257">
        <f>3956563.47/1000</f>
        <v>3956.5634700000001</v>
      </c>
      <c r="L21" s="257">
        <f>3926563.47/1000</f>
        <v>3926.5634700000001</v>
      </c>
      <c r="M21" s="265">
        <f>3757663.47/1000</f>
        <v>3757.6634700000004</v>
      </c>
      <c r="N21" s="204"/>
    </row>
    <row r="22" spans="1:14" ht="75.75" customHeight="1" x14ac:dyDescent="0.25">
      <c r="A22" s="274"/>
      <c r="B22" s="281" t="s">
        <v>587</v>
      </c>
      <c r="C22" s="280">
        <v>616</v>
      </c>
      <c r="D22" s="214">
        <v>1</v>
      </c>
      <c r="E22" s="220">
        <v>4</v>
      </c>
      <c r="F22" s="228" t="s">
        <v>49</v>
      </c>
      <c r="G22" s="235" t="s">
        <v>5</v>
      </c>
      <c r="H22" s="228" t="s">
        <v>4</v>
      </c>
      <c r="I22" s="241" t="s">
        <v>3</v>
      </c>
      <c r="J22" s="249" t="s">
        <v>1</v>
      </c>
      <c r="K22" s="255">
        <f>3956563.47/1000</f>
        <v>3956.5634700000001</v>
      </c>
      <c r="L22" s="255">
        <f>3926563.47/1000</f>
        <v>3926.5634700000001</v>
      </c>
      <c r="M22" s="263">
        <f>3757663.47/1000</f>
        <v>3757.6634700000004</v>
      </c>
      <c r="N22" s="204"/>
    </row>
    <row r="23" spans="1:14" ht="29.25" customHeight="1" x14ac:dyDescent="0.25">
      <c r="A23" s="274"/>
      <c r="B23" s="281" t="s">
        <v>588</v>
      </c>
      <c r="C23" s="280">
        <v>616</v>
      </c>
      <c r="D23" s="214">
        <v>1</v>
      </c>
      <c r="E23" s="220">
        <v>4</v>
      </c>
      <c r="F23" s="228" t="s">
        <v>49</v>
      </c>
      <c r="G23" s="235" t="s">
        <v>31</v>
      </c>
      <c r="H23" s="228" t="s">
        <v>4</v>
      </c>
      <c r="I23" s="241" t="s">
        <v>3</v>
      </c>
      <c r="J23" s="249" t="s">
        <v>1</v>
      </c>
      <c r="K23" s="255">
        <f>3956563.47/1000</f>
        <v>3956.5634700000001</v>
      </c>
      <c r="L23" s="255">
        <f>3926563.47/1000</f>
        <v>3926.5634700000001</v>
      </c>
      <c r="M23" s="263">
        <f>3757663.47/1000</f>
        <v>3757.6634700000004</v>
      </c>
      <c r="N23" s="204"/>
    </row>
    <row r="24" spans="1:14" ht="23.25" customHeight="1" x14ac:dyDescent="0.25">
      <c r="A24" s="274"/>
      <c r="B24" s="281" t="s">
        <v>589</v>
      </c>
      <c r="C24" s="280">
        <v>616</v>
      </c>
      <c r="D24" s="214">
        <v>1</v>
      </c>
      <c r="E24" s="220">
        <v>4</v>
      </c>
      <c r="F24" s="228" t="s">
        <v>49</v>
      </c>
      <c r="G24" s="235" t="s">
        <v>31</v>
      </c>
      <c r="H24" s="228" t="s">
        <v>6</v>
      </c>
      <c r="I24" s="241" t="s">
        <v>3</v>
      </c>
      <c r="J24" s="249" t="s">
        <v>1</v>
      </c>
      <c r="K24" s="255">
        <f>3739363.47/1000</f>
        <v>3739.3634700000002</v>
      </c>
      <c r="L24" s="255">
        <f>3709363.47/1000</f>
        <v>3709.3634700000002</v>
      </c>
      <c r="M24" s="263">
        <f>3709363.47/1000</f>
        <v>3709.3634700000002</v>
      </c>
      <c r="N24" s="204"/>
    </row>
    <row r="25" spans="1:14" ht="29.25" customHeight="1" x14ac:dyDescent="0.25">
      <c r="A25" s="274"/>
      <c r="B25" s="281" t="s">
        <v>591</v>
      </c>
      <c r="C25" s="280">
        <v>616</v>
      </c>
      <c r="D25" s="214">
        <v>1</v>
      </c>
      <c r="E25" s="220">
        <v>4</v>
      </c>
      <c r="F25" s="228" t="s">
        <v>49</v>
      </c>
      <c r="G25" s="235" t="s">
        <v>31</v>
      </c>
      <c r="H25" s="228" t="s">
        <v>6</v>
      </c>
      <c r="I25" s="241" t="s">
        <v>61</v>
      </c>
      <c r="J25" s="249" t="s">
        <v>1</v>
      </c>
      <c r="K25" s="255">
        <f>3710363.47/1000</f>
        <v>3710.3634700000002</v>
      </c>
      <c r="L25" s="255">
        <f>3680363.47/1000</f>
        <v>3680.3634700000002</v>
      </c>
      <c r="M25" s="263">
        <f>3680363.47/1000</f>
        <v>3680.3634700000002</v>
      </c>
      <c r="N25" s="204"/>
    </row>
    <row r="26" spans="1:14" ht="50.25" customHeight="1" x14ac:dyDescent="0.25">
      <c r="A26" s="274"/>
      <c r="B26" s="286" t="s">
        <v>51</v>
      </c>
      <c r="C26" s="280">
        <v>616</v>
      </c>
      <c r="D26" s="214">
        <v>1</v>
      </c>
      <c r="E26" s="220">
        <v>4</v>
      </c>
      <c r="F26" s="228" t="s">
        <v>49</v>
      </c>
      <c r="G26" s="235" t="s">
        <v>31</v>
      </c>
      <c r="H26" s="228" t="s">
        <v>6</v>
      </c>
      <c r="I26" s="241" t="s">
        <v>61</v>
      </c>
      <c r="J26" s="249" t="s">
        <v>50</v>
      </c>
      <c r="K26" s="255">
        <f>3474863.47/1000</f>
        <v>3474.8634700000002</v>
      </c>
      <c r="L26" s="255">
        <f>3474863.47/1000</f>
        <v>3474.8634700000002</v>
      </c>
      <c r="M26" s="263">
        <f>3474863.47/1000</f>
        <v>3474.8634700000002</v>
      </c>
      <c r="N26" s="204"/>
    </row>
    <row r="27" spans="1:14" ht="36" customHeight="1" x14ac:dyDescent="0.25">
      <c r="A27" s="274"/>
      <c r="B27" s="282" t="s">
        <v>22</v>
      </c>
      <c r="C27" s="283">
        <v>616</v>
      </c>
      <c r="D27" s="215">
        <v>1</v>
      </c>
      <c r="E27" s="221">
        <v>4</v>
      </c>
      <c r="F27" s="229" t="s">
        <v>49</v>
      </c>
      <c r="G27" s="236" t="s">
        <v>31</v>
      </c>
      <c r="H27" s="229" t="s">
        <v>6</v>
      </c>
      <c r="I27" s="242" t="s">
        <v>61</v>
      </c>
      <c r="J27" s="250" t="s">
        <v>19</v>
      </c>
      <c r="K27" s="256">
        <f>235500/1000</f>
        <v>235.5</v>
      </c>
      <c r="L27" s="256">
        <f>205500/1000</f>
        <v>205.5</v>
      </c>
      <c r="M27" s="264">
        <f>205500/1000</f>
        <v>205.5</v>
      </c>
      <c r="N27" s="204"/>
    </row>
    <row r="28" spans="1:14" ht="46.5" customHeight="1" x14ac:dyDescent="0.25">
      <c r="A28" s="274"/>
      <c r="B28" s="287" t="s">
        <v>405</v>
      </c>
      <c r="C28" s="285">
        <v>616</v>
      </c>
      <c r="D28" s="216">
        <v>1</v>
      </c>
      <c r="E28" s="222">
        <v>4</v>
      </c>
      <c r="F28" s="230" t="s">
        <v>49</v>
      </c>
      <c r="G28" s="237" t="s">
        <v>31</v>
      </c>
      <c r="H28" s="230" t="s">
        <v>6</v>
      </c>
      <c r="I28" s="243" t="s">
        <v>592</v>
      </c>
      <c r="J28" s="251" t="s">
        <v>1</v>
      </c>
      <c r="K28" s="257">
        <f t="shared" ref="K28:M29" si="2">4000/1000</f>
        <v>4</v>
      </c>
      <c r="L28" s="257">
        <f t="shared" si="2"/>
        <v>4</v>
      </c>
      <c r="M28" s="265">
        <f t="shared" si="2"/>
        <v>4</v>
      </c>
      <c r="N28" s="204"/>
    </row>
    <row r="29" spans="1:14" ht="31.5" customHeight="1" x14ac:dyDescent="0.25">
      <c r="A29" s="274"/>
      <c r="B29" s="282" t="s">
        <v>22</v>
      </c>
      <c r="C29" s="283">
        <v>616</v>
      </c>
      <c r="D29" s="215">
        <v>1</v>
      </c>
      <c r="E29" s="221">
        <v>4</v>
      </c>
      <c r="F29" s="229" t="s">
        <v>49</v>
      </c>
      <c r="G29" s="236" t="s">
        <v>31</v>
      </c>
      <c r="H29" s="229" t="s">
        <v>6</v>
      </c>
      <c r="I29" s="242" t="s">
        <v>592</v>
      </c>
      <c r="J29" s="250" t="s">
        <v>19</v>
      </c>
      <c r="K29" s="256">
        <f t="shared" si="2"/>
        <v>4</v>
      </c>
      <c r="L29" s="256">
        <f t="shared" si="2"/>
        <v>4</v>
      </c>
      <c r="M29" s="264">
        <f t="shared" si="2"/>
        <v>4</v>
      </c>
      <c r="N29" s="204"/>
    </row>
    <row r="30" spans="1:14" ht="49.5" customHeight="1" x14ac:dyDescent="0.25">
      <c r="A30" s="274"/>
      <c r="B30" s="287" t="s">
        <v>365</v>
      </c>
      <c r="C30" s="285">
        <v>616</v>
      </c>
      <c r="D30" s="216">
        <v>1</v>
      </c>
      <c r="E30" s="222">
        <v>4</v>
      </c>
      <c r="F30" s="230" t="s">
        <v>49</v>
      </c>
      <c r="G30" s="237" t="s">
        <v>31</v>
      </c>
      <c r="H30" s="230" t="s">
        <v>6</v>
      </c>
      <c r="I30" s="243" t="s">
        <v>593</v>
      </c>
      <c r="J30" s="251" t="s">
        <v>1</v>
      </c>
      <c r="K30" s="257">
        <f t="shared" ref="K30:M31" si="3">25000/1000</f>
        <v>25</v>
      </c>
      <c r="L30" s="257">
        <f t="shared" si="3"/>
        <v>25</v>
      </c>
      <c r="M30" s="265">
        <f t="shared" si="3"/>
        <v>25</v>
      </c>
      <c r="N30" s="204"/>
    </row>
    <row r="31" spans="1:14" ht="49.5" customHeight="1" x14ac:dyDescent="0.25">
      <c r="A31" s="274"/>
      <c r="B31" s="282" t="s">
        <v>22</v>
      </c>
      <c r="C31" s="283">
        <v>616</v>
      </c>
      <c r="D31" s="215">
        <v>1</v>
      </c>
      <c r="E31" s="221">
        <v>4</v>
      </c>
      <c r="F31" s="229" t="s">
        <v>49</v>
      </c>
      <c r="G31" s="236" t="s">
        <v>31</v>
      </c>
      <c r="H31" s="229" t="s">
        <v>6</v>
      </c>
      <c r="I31" s="242" t="s">
        <v>593</v>
      </c>
      <c r="J31" s="250" t="s">
        <v>19</v>
      </c>
      <c r="K31" s="256">
        <f t="shared" si="3"/>
        <v>25</v>
      </c>
      <c r="L31" s="256">
        <f t="shared" si="3"/>
        <v>25</v>
      </c>
      <c r="M31" s="264">
        <f t="shared" si="3"/>
        <v>25</v>
      </c>
      <c r="N31" s="204"/>
    </row>
    <row r="32" spans="1:14" ht="65.25" customHeight="1" x14ac:dyDescent="0.25">
      <c r="A32" s="274"/>
      <c r="B32" s="287" t="s">
        <v>594</v>
      </c>
      <c r="C32" s="285">
        <v>616</v>
      </c>
      <c r="D32" s="216">
        <v>1</v>
      </c>
      <c r="E32" s="222">
        <v>4</v>
      </c>
      <c r="F32" s="230" t="s">
        <v>49</v>
      </c>
      <c r="G32" s="237" t="s">
        <v>31</v>
      </c>
      <c r="H32" s="230" t="s">
        <v>21</v>
      </c>
      <c r="I32" s="243" t="s">
        <v>3</v>
      </c>
      <c r="J32" s="251" t="s">
        <v>1</v>
      </c>
      <c r="K32" s="257">
        <f>217200/1000</f>
        <v>217.2</v>
      </c>
      <c r="L32" s="257">
        <f>217200/1000</f>
        <v>217.2</v>
      </c>
      <c r="M32" s="265">
        <f>48300/1000</f>
        <v>48.3</v>
      </c>
      <c r="N32" s="204"/>
    </row>
    <row r="33" spans="1:14" ht="26.25" customHeight="1" x14ac:dyDescent="0.25">
      <c r="A33" s="274"/>
      <c r="B33" s="281" t="s">
        <v>595</v>
      </c>
      <c r="C33" s="280">
        <v>616</v>
      </c>
      <c r="D33" s="214">
        <v>1</v>
      </c>
      <c r="E33" s="220">
        <v>4</v>
      </c>
      <c r="F33" s="228" t="s">
        <v>49</v>
      </c>
      <c r="G33" s="235" t="s">
        <v>31</v>
      </c>
      <c r="H33" s="228" t="s">
        <v>21</v>
      </c>
      <c r="I33" s="241" t="s">
        <v>596</v>
      </c>
      <c r="J33" s="249" t="s">
        <v>1</v>
      </c>
      <c r="K33" s="255">
        <f>168900/1000</f>
        <v>168.9</v>
      </c>
      <c r="L33" s="255">
        <f>168900/1000</f>
        <v>168.9</v>
      </c>
      <c r="M33" s="263">
        <v>0</v>
      </c>
      <c r="N33" s="204"/>
    </row>
    <row r="34" spans="1:14" ht="26.25" customHeight="1" x14ac:dyDescent="0.25">
      <c r="A34" s="274"/>
      <c r="B34" s="282" t="s">
        <v>247</v>
      </c>
      <c r="C34" s="283">
        <v>616</v>
      </c>
      <c r="D34" s="215">
        <v>1</v>
      </c>
      <c r="E34" s="221">
        <v>4</v>
      </c>
      <c r="F34" s="229" t="s">
        <v>49</v>
      </c>
      <c r="G34" s="236" t="s">
        <v>31</v>
      </c>
      <c r="H34" s="229" t="s">
        <v>21</v>
      </c>
      <c r="I34" s="242" t="s">
        <v>596</v>
      </c>
      <c r="J34" s="250" t="s">
        <v>366</v>
      </c>
      <c r="K34" s="256">
        <f>168900/1000</f>
        <v>168.9</v>
      </c>
      <c r="L34" s="256">
        <f>168900/1000</f>
        <v>168.9</v>
      </c>
      <c r="M34" s="264">
        <v>0</v>
      </c>
      <c r="N34" s="204"/>
    </row>
    <row r="35" spans="1:14" ht="48" customHeight="1" x14ac:dyDescent="0.25">
      <c r="A35" s="274"/>
      <c r="B35" s="287" t="s">
        <v>597</v>
      </c>
      <c r="C35" s="285">
        <v>616</v>
      </c>
      <c r="D35" s="216">
        <v>1</v>
      </c>
      <c r="E35" s="222">
        <v>4</v>
      </c>
      <c r="F35" s="230" t="s">
        <v>49</v>
      </c>
      <c r="G35" s="237" t="s">
        <v>31</v>
      </c>
      <c r="H35" s="230" t="s">
        <v>21</v>
      </c>
      <c r="I35" s="243" t="s">
        <v>598</v>
      </c>
      <c r="J35" s="251" t="s">
        <v>1</v>
      </c>
      <c r="K35" s="257">
        <f t="shared" ref="K35:M36" si="4">40300/1000</f>
        <v>40.299999999999997</v>
      </c>
      <c r="L35" s="257">
        <f t="shared" si="4"/>
        <v>40.299999999999997</v>
      </c>
      <c r="M35" s="265">
        <f t="shared" si="4"/>
        <v>40.299999999999997</v>
      </c>
      <c r="N35" s="204"/>
    </row>
    <row r="36" spans="1:14" ht="30" customHeight="1" x14ac:dyDescent="0.25">
      <c r="A36" s="274"/>
      <c r="B36" s="282" t="s">
        <v>247</v>
      </c>
      <c r="C36" s="283">
        <v>616</v>
      </c>
      <c r="D36" s="215">
        <v>1</v>
      </c>
      <c r="E36" s="221">
        <v>4</v>
      </c>
      <c r="F36" s="229" t="s">
        <v>49</v>
      </c>
      <c r="G36" s="236" t="s">
        <v>31</v>
      </c>
      <c r="H36" s="229" t="s">
        <v>21</v>
      </c>
      <c r="I36" s="242" t="s">
        <v>598</v>
      </c>
      <c r="J36" s="250" t="s">
        <v>366</v>
      </c>
      <c r="K36" s="256">
        <f t="shared" si="4"/>
        <v>40.299999999999997</v>
      </c>
      <c r="L36" s="256">
        <f t="shared" si="4"/>
        <v>40.299999999999997</v>
      </c>
      <c r="M36" s="264">
        <f t="shared" si="4"/>
        <v>40.299999999999997</v>
      </c>
      <c r="N36" s="204"/>
    </row>
    <row r="37" spans="1:14" ht="33.75" customHeight="1" x14ac:dyDescent="0.25">
      <c r="A37" s="274"/>
      <c r="B37" s="287" t="s">
        <v>599</v>
      </c>
      <c r="C37" s="285">
        <v>616</v>
      </c>
      <c r="D37" s="216">
        <v>1</v>
      </c>
      <c r="E37" s="222">
        <v>4</v>
      </c>
      <c r="F37" s="230" t="s">
        <v>49</v>
      </c>
      <c r="G37" s="237" t="s">
        <v>31</v>
      </c>
      <c r="H37" s="230" t="s">
        <v>21</v>
      </c>
      <c r="I37" s="243" t="s">
        <v>600</v>
      </c>
      <c r="J37" s="251" t="s">
        <v>1</v>
      </c>
      <c r="K37" s="257">
        <f t="shared" ref="K37:M38" si="5">8000/1000</f>
        <v>8</v>
      </c>
      <c r="L37" s="257">
        <f t="shared" si="5"/>
        <v>8</v>
      </c>
      <c r="M37" s="265">
        <f t="shared" si="5"/>
        <v>8</v>
      </c>
      <c r="N37" s="204"/>
    </row>
    <row r="38" spans="1:14" ht="54" customHeight="1" x14ac:dyDescent="0.25">
      <c r="A38" s="274"/>
      <c r="B38" s="282" t="s">
        <v>247</v>
      </c>
      <c r="C38" s="283">
        <v>616</v>
      </c>
      <c r="D38" s="215">
        <v>1</v>
      </c>
      <c r="E38" s="221">
        <v>4</v>
      </c>
      <c r="F38" s="229" t="s">
        <v>49</v>
      </c>
      <c r="G38" s="236" t="s">
        <v>31</v>
      </c>
      <c r="H38" s="229" t="s">
        <v>21</v>
      </c>
      <c r="I38" s="242" t="s">
        <v>600</v>
      </c>
      <c r="J38" s="250" t="s">
        <v>366</v>
      </c>
      <c r="K38" s="256">
        <f t="shared" si="5"/>
        <v>8</v>
      </c>
      <c r="L38" s="256">
        <f t="shared" si="5"/>
        <v>8</v>
      </c>
      <c r="M38" s="264">
        <f t="shared" si="5"/>
        <v>8</v>
      </c>
      <c r="N38" s="204"/>
    </row>
    <row r="39" spans="1:14" ht="83.25" customHeight="1" x14ac:dyDescent="0.25">
      <c r="A39" s="274"/>
      <c r="B39" s="284" t="s">
        <v>328</v>
      </c>
      <c r="C39" s="285">
        <v>616</v>
      </c>
      <c r="D39" s="216">
        <v>1</v>
      </c>
      <c r="E39" s="222">
        <v>6</v>
      </c>
      <c r="F39" s="230" t="s">
        <v>1</v>
      </c>
      <c r="G39" s="237" t="s">
        <v>1</v>
      </c>
      <c r="H39" s="230" t="s">
        <v>1</v>
      </c>
      <c r="I39" s="243" t="s">
        <v>1</v>
      </c>
      <c r="J39" s="251" t="s">
        <v>1</v>
      </c>
      <c r="K39" s="257">
        <f t="shared" ref="K39:K44" si="6">55400/1000</f>
        <v>55.4</v>
      </c>
      <c r="L39" s="257">
        <v>0</v>
      </c>
      <c r="M39" s="265">
        <v>0</v>
      </c>
      <c r="N39" s="204"/>
    </row>
    <row r="40" spans="1:14" ht="19.5" customHeight="1" x14ac:dyDescent="0.25">
      <c r="A40" s="274"/>
      <c r="B40" s="281" t="s">
        <v>587</v>
      </c>
      <c r="C40" s="280">
        <v>616</v>
      </c>
      <c r="D40" s="214">
        <v>1</v>
      </c>
      <c r="E40" s="220">
        <v>6</v>
      </c>
      <c r="F40" s="228" t="s">
        <v>49</v>
      </c>
      <c r="G40" s="235" t="s">
        <v>5</v>
      </c>
      <c r="H40" s="228" t="s">
        <v>4</v>
      </c>
      <c r="I40" s="241" t="s">
        <v>3</v>
      </c>
      <c r="J40" s="249" t="s">
        <v>1</v>
      </c>
      <c r="K40" s="255">
        <f t="shared" si="6"/>
        <v>55.4</v>
      </c>
      <c r="L40" s="255">
        <v>0</v>
      </c>
      <c r="M40" s="263">
        <v>0</v>
      </c>
      <c r="N40" s="204"/>
    </row>
    <row r="41" spans="1:14" ht="50.25" customHeight="1" x14ac:dyDescent="0.25">
      <c r="A41" s="274"/>
      <c r="B41" s="281" t="s">
        <v>588</v>
      </c>
      <c r="C41" s="280">
        <v>616</v>
      </c>
      <c r="D41" s="214">
        <v>1</v>
      </c>
      <c r="E41" s="220">
        <v>6</v>
      </c>
      <c r="F41" s="228" t="s">
        <v>49</v>
      </c>
      <c r="G41" s="235" t="s">
        <v>31</v>
      </c>
      <c r="H41" s="228" t="s">
        <v>4</v>
      </c>
      <c r="I41" s="241" t="s">
        <v>3</v>
      </c>
      <c r="J41" s="249" t="s">
        <v>1</v>
      </c>
      <c r="K41" s="255">
        <f t="shared" si="6"/>
        <v>55.4</v>
      </c>
      <c r="L41" s="255">
        <v>0</v>
      </c>
      <c r="M41" s="263">
        <v>0</v>
      </c>
      <c r="N41" s="204"/>
    </row>
    <row r="42" spans="1:14" ht="33" customHeight="1" x14ac:dyDescent="0.25">
      <c r="A42" s="274"/>
      <c r="B42" s="281" t="s">
        <v>594</v>
      </c>
      <c r="C42" s="280">
        <v>616</v>
      </c>
      <c r="D42" s="214">
        <v>1</v>
      </c>
      <c r="E42" s="220">
        <v>6</v>
      </c>
      <c r="F42" s="228" t="s">
        <v>49</v>
      </c>
      <c r="G42" s="235" t="s">
        <v>31</v>
      </c>
      <c r="H42" s="228" t="s">
        <v>21</v>
      </c>
      <c r="I42" s="241" t="s">
        <v>3</v>
      </c>
      <c r="J42" s="249" t="s">
        <v>1</v>
      </c>
      <c r="K42" s="255">
        <f t="shared" si="6"/>
        <v>55.4</v>
      </c>
      <c r="L42" s="255">
        <v>0</v>
      </c>
      <c r="M42" s="263">
        <v>0</v>
      </c>
      <c r="N42" s="204"/>
    </row>
    <row r="43" spans="1:14" ht="28.5" customHeight="1" x14ac:dyDescent="0.25">
      <c r="A43" s="274"/>
      <c r="B43" s="281" t="s">
        <v>601</v>
      </c>
      <c r="C43" s="280">
        <v>616</v>
      </c>
      <c r="D43" s="214">
        <v>1</v>
      </c>
      <c r="E43" s="220">
        <v>6</v>
      </c>
      <c r="F43" s="228" t="s">
        <v>49</v>
      </c>
      <c r="G43" s="235" t="s">
        <v>31</v>
      </c>
      <c r="H43" s="228" t="s">
        <v>21</v>
      </c>
      <c r="I43" s="241" t="s">
        <v>602</v>
      </c>
      <c r="J43" s="249" t="s">
        <v>1</v>
      </c>
      <c r="K43" s="255">
        <f t="shared" si="6"/>
        <v>55.4</v>
      </c>
      <c r="L43" s="255">
        <v>0</v>
      </c>
      <c r="M43" s="263">
        <v>0</v>
      </c>
      <c r="N43" s="204"/>
    </row>
    <row r="44" spans="1:14" ht="21" customHeight="1" x14ac:dyDescent="0.25">
      <c r="A44" s="274"/>
      <c r="B44" s="282" t="s">
        <v>247</v>
      </c>
      <c r="C44" s="283">
        <v>616</v>
      </c>
      <c r="D44" s="215">
        <v>1</v>
      </c>
      <c r="E44" s="221">
        <v>6</v>
      </c>
      <c r="F44" s="229" t="s">
        <v>49</v>
      </c>
      <c r="G44" s="236" t="s">
        <v>31</v>
      </c>
      <c r="H44" s="229" t="s">
        <v>21</v>
      </c>
      <c r="I44" s="242" t="s">
        <v>602</v>
      </c>
      <c r="J44" s="250" t="s">
        <v>366</v>
      </c>
      <c r="K44" s="256">
        <f t="shared" si="6"/>
        <v>55.4</v>
      </c>
      <c r="L44" s="256">
        <v>0</v>
      </c>
      <c r="M44" s="264">
        <v>0</v>
      </c>
      <c r="N44" s="204"/>
    </row>
    <row r="45" spans="1:14" ht="19.5" customHeight="1" x14ac:dyDescent="0.25">
      <c r="A45" s="274"/>
      <c r="B45" s="284" t="s">
        <v>60</v>
      </c>
      <c r="C45" s="285">
        <v>616</v>
      </c>
      <c r="D45" s="216">
        <v>1</v>
      </c>
      <c r="E45" s="222">
        <v>13</v>
      </c>
      <c r="F45" s="230" t="s">
        <v>1</v>
      </c>
      <c r="G45" s="237" t="s">
        <v>1</v>
      </c>
      <c r="H45" s="230" t="s">
        <v>1</v>
      </c>
      <c r="I45" s="243" t="s">
        <v>1</v>
      </c>
      <c r="J45" s="251" t="s">
        <v>1</v>
      </c>
      <c r="K45" s="257">
        <f>8246594.43/1000</f>
        <v>8246.5944299999992</v>
      </c>
      <c r="L45" s="257">
        <f>7403240/1000</f>
        <v>7403.24</v>
      </c>
      <c r="M45" s="265">
        <f>6895090/1000</f>
        <v>6895.09</v>
      </c>
      <c r="N45" s="204"/>
    </row>
    <row r="46" spans="1:14" ht="61.5" customHeight="1" x14ac:dyDescent="0.25">
      <c r="A46" s="274"/>
      <c r="B46" s="281" t="s">
        <v>587</v>
      </c>
      <c r="C46" s="280">
        <v>616</v>
      </c>
      <c r="D46" s="214">
        <v>1</v>
      </c>
      <c r="E46" s="220">
        <v>13</v>
      </c>
      <c r="F46" s="228" t="s">
        <v>49</v>
      </c>
      <c r="G46" s="235" t="s">
        <v>5</v>
      </c>
      <c r="H46" s="228" t="s">
        <v>4</v>
      </c>
      <c r="I46" s="241" t="s">
        <v>3</v>
      </c>
      <c r="J46" s="249" t="s">
        <v>1</v>
      </c>
      <c r="K46" s="255">
        <f>8246594.43/1000</f>
        <v>8246.5944299999992</v>
      </c>
      <c r="L46" s="255">
        <f>7403240/1000</f>
        <v>7403.24</v>
      </c>
      <c r="M46" s="263">
        <f>6895090/1000</f>
        <v>6895.09</v>
      </c>
      <c r="N46" s="204"/>
    </row>
    <row r="47" spans="1:14" ht="47.25" customHeight="1" x14ac:dyDescent="0.25">
      <c r="A47" s="274"/>
      <c r="B47" s="281" t="s">
        <v>588</v>
      </c>
      <c r="C47" s="280">
        <v>616</v>
      </c>
      <c r="D47" s="214">
        <v>1</v>
      </c>
      <c r="E47" s="220">
        <v>13</v>
      </c>
      <c r="F47" s="228" t="s">
        <v>49</v>
      </c>
      <c r="G47" s="235" t="s">
        <v>31</v>
      </c>
      <c r="H47" s="228" t="s">
        <v>4</v>
      </c>
      <c r="I47" s="241" t="s">
        <v>3</v>
      </c>
      <c r="J47" s="249" t="s">
        <v>1</v>
      </c>
      <c r="K47" s="255">
        <f>8246594.43/1000</f>
        <v>8246.5944299999992</v>
      </c>
      <c r="L47" s="255">
        <f>7403240/1000</f>
        <v>7403.24</v>
      </c>
      <c r="M47" s="263">
        <f>6895090/1000</f>
        <v>6895.09</v>
      </c>
      <c r="N47" s="204"/>
    </row>
    <row r="48" spans="1:14" ht="26.25" customHeight="1" x14ac:dyDescent="0.25">
      <c r="A48" s="274"/>
      <c r="B48" s="281" t="s">
        <v>589</v>
      </c>
      <c r="C48" s="280">
        <v>616</v>
      </c>
      <c r="D48" s="214">
        <v>1</v>
      </c>
      <c r="E48" s="220">
        <v>13</v>
      </c>
      <c r="F48" s="228" t="s">
        <v>49</v>
      </c>
      <c r="G48" s="235" t="s">
        <v>31</v>
      </c>
      <c r="H48" s="228" t="s">
        <v>6</v>
      </c>
      <c r="I48" s="241" t="s">
        <v>3</v>
      </c>
      <c r="J48" s="249" t="s">
        <v>1</v>
      </c>
      <c r="K48" s="255">
        <f>8246594.43/1000</f>
        <v>8246.5944299999992</v>
      </c>
      <c r="L48" s="255">
        <f>7403240/1000</f>
        <v>7403.24</v>
      </c>
      <c r="M48" s="263">
        <f>6895090/1000</f>
        <v>6895.09</v>
      </c>
      <c r="N48" s="204"/>
    </row>
    <row r="49" spans="1:14" ht="23.25" customHeight="1" x14ac:dyDescent="0.25">
      <c r="A49" s="274"/>
      <c r="B49" s="281" t="s">
        <v>603</v>
      </c>
      <c r="C49" s="280">
        <v>616</v>
      </c>
      <c r="D49" s="214">
        <v>1</v>
      </c>
      <c r="E49" s="220">
        <v>13</v>
      </c>
      <c r="F49" s="228" t="s">
        <v>49</v>
      </c>
      <c r="G49" s="235" t="s">
        <v>31</v>
      </c>
      <c r="H49" s="228" t="s">
        <v>6</v>
      </c>
      <c r="I49" s="241" t="s">
        <v>604</v>
      </c>
      <c r="J49" s="249" t="s">
        <v>1</v>
      </c>
      <c r="K49" s="255">
        <f>7079494.43/1000</f>
        <v>7079.4944299999997</v>
      </c>
      <c r="L49" s="255">
        <f>6819140/1000</f>
        <v>6819.14</v>
      </c>
      <c r="M49" s="263">
        <f>6310990/1000</f>
        <v>6310.99</v>
      </c>
      <c r="N49" s="204"/>
    </row>
    <row r="50" spans="1:14" ht="29.25" customHeight="1" x14ac:dyDescent="0.25">
      <c r="A50" s="274"/>
      <c r="B50" s="286" t="s">
        <v>605</v>
      </c>
      <c r="C50" s="280">
        <v>616</v>
      </c>
      <c r="D50" s="214">
        <v>1</v>
      </c>
      <c r="E50" s="220">
        <v>13</v>
      </c>
      <c r="F50" s="228" t="s">
        <v>49</v>
      </c>
      <c r="G50" s="235" t="s">
        <v>31</v>
      </c>
      <c r="H50" s="228" t="s">
        <v>6</v>
      </c>
      <c r="I50" s="241" t="s">
        <v>604</v>
      </c>
      <c r="J50" s="249" t="s">
        <v>606</v>
      </c>
      <c r="K50" s="255">
        <f>5527994.43/1000</f>
        <v>5527.9944299999997</v>
      </c>
      <c r="L50" s="255">
        <f>6110990/1000</f>
        <v>6110.99</v>
      </c>
      <c r="M50" s="263">
        <f>6110990/1000</f>
        <v>6110.99</v>
      </c>
      <c r="N50" s="204"/>
    </row>
    <row r="51" spans="1:14" ht="23.25" customHeight="1" x14ac:dyDescent="0.25">
      <c r="A51" s="274"/>
      <c r="B51" s="282" t="s">
        <v>22</v>
      </c>
      <c r="C51" s="283">
        <v>616</v>
      </c>
      <c r="D51" s="215">
        <v>1</v>
      </c>
      <c r="E51" s="221">
        <v>13</v>
      </c>
      <c r="F51" s="229" t="s">
        <v>49</v>
      </c>
      <c r="G51" s="236" t="s">
        <v>31</v>
      </c>
      <c r="H51" s="229" t="s">
        <v>6</v>
      </c>
      <c r="I51" s="242" t="s">
        <v>604</v>
      </c>
      <c r="J51" s="250" t="s">
        <v>19</v>
      </c>
      <c r="K51" s="256">
        <f>1551500/1000</f>
        <v>1551.5</v>
      </c>
      <c r="L51" s="256">
        <f>708150/1000</f>
        <v>708.15</v>
      </c>
      <c r="M51" s="264">
        <f>200000/1000</f>
        <v>200</v>
      </c>
      <c r="N51" s="204"/>
    </row>
    <row r="52" spans="1:14" ht="23.25" customHeight="1" x14ac:dyDescent="0.25">
      <c r="A52" s="274"/>
      <c r="B52" s="287" t="s">
        <v>376</v>
      </c>
      <c r="C52" s="285">
        <v>616</v>
      </c>
      <c r="D52" s="216">
        <v>1</v>
      </c>
      <c r="E52" s="222">
        <v>13</v>
      </c>
      <c r="F52" s="230" t="s">
        <v>49</v>
      </c>
      <c r="G52" s="237" t="s">
        <v>31</v>
      </c>
      <c r="H52" s="230" t="s">
        <v>6</v>
      </c>
      <c r="I52" s="243" t="s">
        <v>607</v>
      </c>
      <c r="J52" s="251" t="s">
        <v>1</v>
      </c>
      <c r="K52" s="257">
        <f>557000/1000</f>
        <v>557</v>
      </c>
      <c r="L52" s="257">
        <v>0</v>
      </c>
      <c r="M52" s="265">
        <v>0</v>
      </c>
      <c r="N52" s="204"/>
    </row>
    <row r="53" spans="1:14" ht="23.25" customHeight="1" x14ac:dyDescent="0.25">
      <c r="A53" s="274"/>
      <c r="B53" s="282" t="s">
        <v>605</v>
      </c>
      <c r="C53" s="283">
        <v>616</v>
      </c>
      <c r="D53" s="215">
        <v>1</v>
      </c>
      <c r="E53" s="221">
        <v>13</v>
      </c>
      <c r="F53" s="229" t="s">
        <v>49</v>
      </c>
      <c r="G53" s="236" t="s">
        <v>31</v>
      </c>
      <c r="H53" s="229" t="s">
        <v>6</v>
      </c>
      <c r="I53" s="242" t="s">
        <v>607</v>
      </c>
      <c r="J53" s="250" t="s">
        <v>606</v>
      </c>
      <c r="K53" s="256">
        <f>557000/1000</f>
        <v>557</v>
      </c>
      <c r="L53" s="256">
        <v>0</v>
      </c>
      <c r="M53" s="264">
        <v>0</v>
      </c>
      <c r="N53" s="204"/>
    </row>
    <row r="54" spans="1:14" ht="29.25" customHeight="1" x14ac:dyDescent="0.25">
      <c r="A54" s="274"/>
      <c r="B54" s="287" t="s">
        <v>608</v>
      </c>
      <c r="C54" s="285">
        <v>616</v>
      </c>
      <c r="D54" s="216">
        <v>1</v>
      </c>
      <c r="E54" s="222">
        <v>13</v>
      </c>
      <c r="F54" s="230" t="s">
        <v>49</v>
      </c>
      <c r="G54" s="237" t="s">
        <v>31</v>
      </c>
      <c r="H54" s="230" t="s">
        <v>6</v>
      </c>
      <c r="I54" s="243" t="s">
        <v>609</v>
      </c>
      <c r="J54" s="251" t="s">
        <v>1</v>
      </c>
      <c r="K54" s="257">
        <f>26000/1000</f>
        <v>26</v>
      </c>
      <c r="L54" s="257">
        <v>0</v>
      </c>
      <c r="M54" s="265">
        <v>0</v>
      </c>
      <c r="N54" s="204"/>
    </row>
    <row r="55" spans="1:14" ht="43.5" customHeight="1" x14ac:dyDescent="0.25">
      <c r="A55" s="274"/>
      <c r="B55" s="282" t="s">
        <v>605</v>
      </c>
      <c r="C55" s="283">
        <v>616</v>
      </c>
      <c r="D55" s="215">
        <v>1</v>
      </c>
      <c r="E55" s="221">
        <v>13</v>
      </c>
      <c r="F55" s="229" t="s">
        <v>49</v>
      </c>
      <c r="G55" s="236" t="s">
        <v>31</v>
      </c>
      <c r="H55" s="229" t="s">
        <v>6</v>
      </c>
      <c r="I55" s="242" t="s">
        <v>609</v>
      </c>
      <c r="J55" s="250" t="s">
        <v>606</v>
      </c>
      <c r="K55" s="256">
        <f>26000/1000</f>
        <v>26</v>
      </c>
      <c r="L55" s="256">
        <v>0</v>
      </c>
      <c r="M55" s="264">
        <v>0</v>
      </c>
      <c r="N55" s="204"/>
    </row>
    <row r="56" spans="1:14" ht="23.25" customHeight="1" x14ac:dyDescent="0.25">
      <c r="A56" s="274"/>
      <c r="B56" s="287" t="s">
        <v>59</v>
      </c>
      <c r="C56" s="285">
        <v>616</v>
      </c>
      <c r="D56" s="216">
        <v>1</v>
      </c>
      <c r="E56" s="222">
        <v>13</v>
      </c>
      <c r="F56" s="230" t="s">
        <v>49</v>
      </c>
      <c r="G56" s="237" t="s">
        <v>31</v>
      </c>
      <c r="H56" s="230" t="s">
        <v>6</v>
      </c>
      <c r="I56" s="243" t="s">
        <v>58</v>
      </c>
      <c r="J56" s="251" t="s">
        <v>1</v>
      </c>
      <c r="K56" s="257">
        <f t="shared" ref="K56:M57" si="7">6500/1000</f>
        <v>6.5</v>
      </c>
      <c r="L56" s="257">
        <f t="shared" si="7"/>
        <v>6.5</v>
      </c>
      <c r="M56" s="265">
        <f t="shared" si="7"/>
        <v>6.5</v>
      </c>
      <c r="N56" s="204"/>
    </row>
    <row r="57" spans="1:14" ht="23.25" customHeight="1" x14ac:dyDescent="0.25">
      <c r="A57" s="274"/>
      <c r="B57" s="282" t="s">
        <v>56</v>
      </c>
      <c r="C57" s="283">
        <v>616</v>
      </c>
      <c r="D57" s="215">
        <v>1</v>
      </c>
      <c r="E57" s="221">
        <v>13</v>
      </c>
      <c r="F57" s="229" t="s">
        <v>49</v>
      </c>
      <c r="G57" s="236" t="s">
        <v>31</v>
      </c>
      <c r="H57" s="229" t="s">
        <v>6</v>
      </c>
      <c r="I57" s="242" t="s">
        <v>58</v>
      </c>
      <c r="J57" s="250" t="s">
        <v>54</v>
      </c>
      <c r="K57" s="256">
        <f t="shared" si="7"/>
        <v>6.5</v>
      </c>
      <c r="L57" s="256">
        <f t="shared" si="7"/>
        <v>6.5</v>
      </c>
      <c r="M57" s="264">
        <f t="shared" si="7"/>
        <v>6.5</v>
      </c>
      <c r="N57" s="204"/>
    </row>
    <row r="58" spans="1:14" ht="76.5" customHeight="1" x14ac:dyDescent="0.25">
      <c r="A58" s="274"/>
      <c r="B58" s="287" t="s">
        <v>57</v>
      </c>
      <c r="C58" s="285">
        <v>616</v>
      </c>
      <c r="D58" s="216">
        <v>1</v>
      </c>
      <c r="E58" s="222">
        <v>13</v>
      </c>
      <c r="F58" s="230" t="s">
        <v>49</v>
      </c>
      <c r="G58" s="237" t="s">
        <v>31</v>
      </c>
      <c r="H58" s="230" t="s">
        <v>6</v>
      </c>
      <c r="I58" s="243" t="s">
        <v>55</v>
      </c>
      <c r="J58" s="251" t="s">
        <v>1</v>
      </c>
      <c r="K58" s="257">
        <f t="shared" ref="K58:M59" si="8">20000/1000</f>
        <v>20</v>
      </c>
      <c r="L58" s="257">
        <f t="shared" si="8"/>
        <v>20</v>
      </c>
      <c r="M58" s="265">
        <f t="shared" si="8"/>
        <v>20</v>
      </c>
      <c r="N58" s="204"/>
    </row>
    <row r="59" spans="1:14" ht="45.75" customHeight="1" x14ac:dyDescent="0.25">
      <c r="A59" s="274"/>
      <c r="B59" s="282" t="s">
        <v>22</v>
      </c>
      <c r="C59" s="283">
        <v>616</v>
      </c>
      <c r="D59" s="215">
        <v>1</v>
      </c>
      <c r="E59" s="221">
        <v>13</v>
      </c>
      <c r="F59" s="229" t="s">
        <v>49</v>
      </c>
      <c r="G59" s="236" t="s">
        <v>31</v>
      </c>
      <c r="H59" s="229" t="s">
        <v>6</v>
      </c>
      <c r="I59" s="242" t="s">
        <v>55</v>
      </c>
      <c r="J59" s="250" t="s">
        <v>19</v>
      </c>
      <c r="K59" s="256">
        <f t="shared" si="8"/>
        <v>20</v>
      </c>
      <c r="L59" s="256">
        <f t="shared" si="8"/>
        <v>20</v>
      </c>
      <c r="M59" s="264">
        <f t="shared" si="8"/>
        <v>20</v>
      </c>
      <c r="N59" s="204"/>
    </row>
    <row r="60" spans="1:14" ht="45.75" customHeight="1" x14ac:dyDescent="0.25">
      <c r="A60" s="274"/>
      <c r="B60" s="287" t="s">
        <v>610</v>
      </c>
      <c r="C60" s="285">
        <v>616</v>
      </c>
      <c r="D60" s="216">
        <v>1</v>
      </c>
      <c r="E60" s="222">
        <v>13</v>
      </c>
      <c r="F60" s="230" t="s">
        <v>49</v>
      </c>
      <c r="G60" s="237" t="s">
        <v>31</v>
      </c>
      <c r="H60" s="230" t="s">
        <v>6</v>
      </c>
      <c r="I60" s="243" t="s">
        <v>364</v>
      </c>
      <c r="J60" s="251" t="s">
        <v>1</v>
      </c>
      <c r="K60" s="257">
        <f t="shared" ref="K60:M61" si="9">557600/1000</f>
        <v>557.6</v>
      </c>
      <c r="L60" s="257">
        <f t="shared" si="9"/>
        <v>557.6</v>
      </c>
      <c r="M60" s="265">
        <f t="shared" si="9"/>
        <v>557.6</v>
      </c>
      <c r="N60" s="204"/>
    </row>
    <row r="61" spans="1:14" ht="28.5" customHeight="1" x14ac:dyDescent="0.25">
      <c r="A61" s="274"/>
      <c r="B61" s="282" t="s">
        <v>56</v>
      </c>
      <c r="C61" s="283">
        <v>616</v>
      </c>
      <c r="D61" s="215">
        <v>1</v>
      </c>
      <c r="E61" s="221">
        <v>13</v>
      </c>
      <c r="F61" s="229" t="s">
        <v>49</v>
      </c>
      <c r="G61" s="236" t="s">
        <v>31</v>
      </c>
      <c r="H61" s="229" t="s">
        <v>6</v>
      </c>
      <c r="I61" s="242" t="s">
        <v>364</v>
      </c>
      <c r="J61" s="250" t="s">
        <v>54</v>
      </c>
      <c r="K61" s="256">
        <f t="shared" si="9"/>
        <v>557.6</v>
      </c>
      <c r="L61" s="256">
        <f t="shared" si="9"/>
        <v>557.6</v>
      </c>
      <c r="M61" s="264">
        <f t="shared" si="9"/>
        <v>557.6</v>
      </c>
      <c r="N61" s="204"/>
    </row>
    <row r="62" spans="1:14" ht="46.5" customHeight="1" x14ac:dyDescent="0.25">
      <c r="A62" s="274"/>
      <c r="B62" s="288" t="s">
        <v>53</v>
      </c>
      <c r="C62" s="289">
        <v>616</v>
      </c>
      <c r="D62" s="217">
        <v>2</v>
      </c>
      <c r="E62" s="223" t="s">
        <v>1</v>
      </c>
      <c r="F62" s="231" t="s">
        <v>1</v>
      </c>
      <c r="G62" s="238" t="s">
        <v>1</v>
      </c>
      <c r="H62" s="231" t="s">
        <v>1</v>
      </c>
      <c r="I62" s="244" t="s">
        <v>1</v>
      </c>
      <c r="J62" s="252" t="s">
        <v>1</v>
      </c>
      <c r="K62" s="258">
        <f t="shared" ref="K62:K68" si="10">321300/1000</f>
        <v>321.3</v>
      </c>
      <c r="L62" s="258">
        <f t="shared" ref="L62:L68" si="11">336200/1000</f>
        <v>336.2</v>
      </c>
      <c r="M62" s="266">
        <f t="shared" ref="M62:M68" si="12">348400/1000</f>
        <v>348.4</v>
      </c>
      <c r="N62" s="204"/>
    </row>
    <row r="63" spans="1:14" ht="42.75" customHeight="1" x14ac:dyDescent="0.25">
      <c r="A63" s="274"/>
      <c r="B63" s="279" t="s">
        <v>52</v>
      </c>
      <c r="C63" s="280">
        <v>616</v>
      </c>
      <c r="D63" s="214">
        <v>2</v>
      </c>
      <c r="E63" s="220">
        <v>3</v>
      </c>
      <c r="F63" s="228" t="s">
        <v>1</v>
      </c>
      <c r="G63" s="235" t="s">
        <v>1</v>
      </c>
      <c r="H63" s="228" t="s">
        <v>1</v>
      </c>
      <c r="I63" s="241" t="s">
        <v>1</v>
      </c>
      <c r="J63" s="249" t="s">
        <v>1</v>
      </c>
      <c r="K63" s="255">
        <f t="shared" si="10"/>
        <v>321.3</v>
      </c>
      <c r="L63" s="255">
        <f t="shared" si="11"/>
        <v>336.2</v>
      </c>
      <c r="M63" s="263">
        <f t="shared" si="12"/>
        <v>348.4</v>
      </c>
      <c r="N63" s="204"/>
    </row>
    <row r="64" spans="1:14" ht="33.75" customHeight="1" x14ac:dyDescent="0.25">
      <c r="A64" s="274"/>
      <c r="B64" s="281" t="s">
        <v>587</v>
      </c>
      <c r="C64" s="280">
        <v>616</v>
      </c>
      <c r="D64" s="214">
        <v>2</v>
      </c>
      <c r="E64" s="220">
        <v>3</v>
      </c>
      <c r="F64" s="228" t="s">
        <v>49</v>
      </c>
      <c r="G64" s="235" t="s">
        <v>5</v>
      </c>
      <c r="H64" s="228" t="s">
        <v>4</v>
      </c>
      <c r="I64" s="241" t="s">
        <v>3</v>
      </c>
      <c r="J64" s="249" t="s">
        <v>1</v>
      </c>
      <c r="K64" s="255">
        <f t="shared" si="10"/>
        <v>321.3</v>
      </c>
      <c r="L64" s="255">
        <f t="shared" si="11"/>
        <v>336.2</v>
      </c>
      <c r="M64" s="263">
        <f t="shared" si="12"/>
        <v>348.4</v>
      </c>
      <c r="N64" s="204"/>
    </row>
    <row r="65" spans="1:14" ht="17.25" customHeight="1" x14ac:dyDescent="0.25">
      <c r="A65" s="274"/>
      <c r="B65" s="281" t="s">
        <v>588</v>
      </c>
      <c r="C65" s="280">
        <v>616</v>
      </c>
      <c r="D65" s="214">
        <v>2</v>
      </c>
      <c r="E65" s="220">
        <v>3</v>
      </c>
      <c r="F65" s="228" t="s">
        <v>49</v>
      </c>
      <c r="G65" s="235" t="s">
        <v>31</v>
      </c>
      <c r="H65" s="228" t="s">
        <v>4</v>
      </c>
      <c r="I65" s="241" t="s">
        <v>3</v>
      </c>
      <c r="J65" s="249" t="s">
        <v>1</v>
      </c>
      <c r="K65" s="255">
        <f t="shared" si="10"/>
        <v>321.3</v>
      </c>
      <c r="L65" s="255">
        <f t="shared" si="11"/>
        <v>336.2</v>
      </c>
      <c r="M65" s="263">
        <f t="shared" si="12"/>
        <v>348.4</v>
      </c>
      <c r="N65" s="204"/>
    </row>
    <row r="66" spans="1:14" ht="33.75" customHeight="1" x14ac:dyDescent="0.25">
      <c r="A66" s="274"/>
      <c r="B66" s="281" t="s">
        <v>589</v>
      </c>
      <c r="C66" s="280">
        <v>616</v>
      </c>
      <c r="D66" s="214">
        <v>2</v>
      </c>
      <c r="E66" s="220">
        <v>3</v>
      </c>
      <c r="F66" s="228" t="s">
        <v>49</v>
      </c>
      <c r="G66" s="235" t="s">
        <v>31</v>
      </c>
      <c r="H66" s="228" t="s">
        <v>6</v>
      </c>
      <c r="I66" s="241" t="s">
        <v>3</v>
      </c>
      <c r="J66" s="249" t="s">
        <v>1</v>
      </c>
      <c r="K66" s="255">
        <f t="shared" si="10"/>
        <v>321.3</v>
      </c>
      <c r="L66" s="255">
        <f t="shared" si="11"/>
        <v>336.2</v>
      </c>
      <c r="M66" s="263">
        <f t="shared" si="12"/>
        <v>348.4</v>
      </c>
      <c r="N66" s="204"/>
    </row>
    <row r="67" spans="1:14" ht="23.25" customHeight="1" x14ac:dyDescent="0.25">
      <c r="A67" s="274"/>
      <c r="B67" s="281" t="s">
        <v>611</v>
      </c>
      <c r="C67" s="280">
        <v>616</v>
      </c>
      <c r="D67" s="214">
        <v>2</v>
      </c>
      <c r="E67" s="220">
        <v>3</v>
      </c>
      <c r="F67" s="228" t="s">
        <v>49</v>
      </c>
      <c r="G67" s="235" t="s">
        <v>31</v>
      </c>
      <c r="H67" s="228" t="s">
        <v>6</v>
      </c>
      <c r="I67" s="241" t="s">
        <v>47</v>
      </c>
      <c r="J67" s="249" t="s">
        <v>1</v>
      </c>
      <c r="K67" s="255">
        <f t="shared" si="10"/>
        <v>321.3</v>
      </c>
      <c r="L67" s="255">
        <f t="shared" si="11"/>
        <v>336.2</v>
      </c>
      <c r="M67" s="263">
        <f t="shared" si="12"/>
        <v>348.4</v>
      </c>
      <c r="N67" s="204"/>
    </row>
    <row r="68" spans="1:14" ht="38.25" customHeight="1" x14ac:dyDescent="0.25">
      <c r="A68" s="274"/>
      <c r="B68" s="282" t="s">
        <v>51</v>
      </c>
      <c r="C68" s="283">
        <v>616</v>
      </c>
      <c r="D68" s="215">
        <v>2</v>
      </c>
      <c r="E68" s="221">
        <v>3</v>
      </c>
      <c r="F68" s="229" t="s">
        <v>49</v>
      </c>
      <c r="G68" s="236" t="s">
        <v>31</v>
      </c>
      <c r="H68" s="229" t="s">
        <v>6</v>
      </c>
      <c r="I68" s="242" t="s">
        <v>47</v>
      </c>
      <c r="J68" s="250" t="s">
        <v>50</v>
      </c>
      <c r="K68" s="256">
        <f t="shared" si="10"/>
        <v>321.3</v>
      </c>
      <c r="L68" s="256">
        <f t="shared" si="11"/>
        <v>336.2</v>
      </c>
      <c r="M68" s="264">
        <f t="shared" si="12"/>
        <v>348.4</v>
      </c>
      <c r="N68" s="204"/>
    </row>
    <row r="69" spans="1:14" ht="79.5" customHeight="1" x14ac:dyDescent="0.25">
      <c r="A69" s="274"/>
      <c r="B69" s="288" t="s">
        <v>46</v>
      </c>
      <c r="C69" s="289">
        <v>616</v>
      </c>
      <c r="D69" s="217">
        <v>3</v>
      </c>
      <c r="E69" s="223" t="s">
        <v>1</v>
      </c>
      <c r="F69" s="231" t="s">
        <v>1</v>
      </c>
      <c r="G69" s="238" t="s">
        <v>1</v>
      </c>
      <c r="H69" s="231" t="s">
        <v>1</v>
      </c>
      <c r="I69" s="244" t="s">
        <v>1</v>
      </c>
      <c r="J69" s="252" t="s">
        <v>1</v>
      </c>
      <c r="K69" s="258">
        <f>398300/1000</f>
        <v>398.3</v>
      </c>
      <c r="L69" s="258">
        <f>399300/1000</f>
        <v>399.3</v>
      </c>
      <c r="M69" s="266">
        <f>399300/1000</f>
        <v>399.3</v>
      </c>
      <c r="N69" s="204"/>
    </row>
    <row r="70" spans="1:14" ht="43.5" customHeight="1" x14ac:dyDescent="0.25">
      <c r="A70" s="274"/>
      <c r="B70" s="279" t="s">
        <v>45</v>
      </c>
      <c r="C70" s="280">
        <v>616</v>
      </c>
      <c r="D70" s="214">
        <v>3</v>
      </c>
      <c r="E70" s="220">
        <v>4</v>
      </c>
      <c r="F70" s="228" t="s">
        <v>1</v>
      </c>
      <c r="G70" s="235" t="s">
        <v>1</v>
      </c>
      <c r="H70" s="228" t="s">
        <v>1</v>
      </c>
      <c r="I70" s="241" t="s">
        <v>1</v>
      </c>
      <c r="J70" s="249" t="s">
        <v>1</v>
      </c>
      <c r="K70" s="255">
        <f>25900/1000</f>
        <v>25.9</v>
      </c>
      <c r="L70" s="255">
        <f t="shared" ref="L70:M73" si="13">26900/1000</f>
        <v>26.9</v>
      </c>
      <c r="M70" s="263">
        <f t="shared" si="13"/>
        <v>26.9</v>
      </c>
      <c r="N70" s="204"/>
    </row>
    <row r="71" spans="1:14" ht="43.5" customHeight="1" x14ac:dyDescent="0.25">
      <c r="A71" s="274"/>
      <c r="B71" s="281" t="s">
        <v>320</v>
      </c>
      <c r="C71" s="280">
        <v>616</v>
      </c>
      <c r="D71" s="214">
        <v>3</v>
      </c>
      <c r="E71" s="220">
        <v>4</v>
      </c>
      <c r="F71" s="228" t="s">
        <v>44</v>
      </c>
      <c r="G71" s="235" t="s">
        <v>5</v>
      </c>
      <c r="H71" s="228" t="s">
        <v>4</v>
      </c>
      <c r="I71" s="241" t="s">
        <v>3</v>
      </c>
      <c r="J71" s="249" t="s">
        <v>1</v>
      </c>
      <c r="K71" s="255">
        <f>25900/1000</f>
        <v>25.9</v>
      </c>
      <c r="L71" s="255">
        <f t="shared" si="13"/>
        <v>26.9</v>
      </c>
      <c r="M71" s="263">
        <f t="shared" si="13"/>
        <v>26.9</v>
      </c>
      <c r="N71" s="204"/>
    </row>
    <row r="72" spans="1:14" ht="29.25" customHeight="1" x14ac:dyDescent="0.25">
      <c r="A72" s="274"/>
      <c r="B72" s="281" t="s">
        <v>612</v>
      </c>
      <c r="C72" s="280">
        <v>616</v>
      </c>
      <c r="D72" s="214">
        <v>3</v>
      </c>
      <c r="E72" s="220">
        <v>4</v>
      </c>
      <c r="F72" s="228" t="s">
        <v>44</v>
      </c>
      <c r="G72" s="235" t="s">
        <v>5</v>
      </c>
      <c r="H72" s="228" t="s">
        <v>4</v>
      </c>
      <c r="I72" s="241" t="s">
        <v>613</v>
      </c>
      <c r="J72" s="249" t="s">
        <v>1</v>
      </c>
      <c r="K72" s="255">
        <f>25900/1000</f>
        <v>25.9</v>
      </c>
      <c r="L72" s="255">
        <f t="shared" si="13"/>
        <v>26.9</v>
      </c>
      <c r="M72" s="263">
        <f t="shared" si="13"/>
        <v>26.9</v>
      </c>
      <c r="N72" s="204"/>
    </row>
    <row r="73" spans="1:14" ht="43.5" customHeight="1" x14ac:dyDescent="0.25">
      <c r="A73" s="274"/>
      <c r="B73" s="282" t="s">
        <v>22</v>
      </c>
      <c r="C73" s="283">
        <v>616</v>
      </c>
      <c r="D73" s="215">
        <v>3</v>
      </c>
      <c r="E73" s="221">
        <v>4</v>
      </c>
      <c r="F73" s="229" t="s">
        <v>44</v>
      </c>
      <c r="G73" s="236" t="s">
        <v>5</v>
      </c>
      <c r="H73" s="229" t="s">
        <v>4</v>
      </c>
      <c r="I73" s="242" t="s">
        <v>613</v>
      </c>
      <c r="J73" s="250" t="s">
        <v>19</v>
      </c>
      <c r="K73" s="256">
        <f>25900/1000</f>
        <v>25.9</v>
      </c>
      <c r="L73" s="256">
        <f t="shared" si="13"/>
        <v>26.9</v>
      </c>
      <c r="M73" s="264">
        <f t="shared" si="13"/>
        <v>26.9</v>
      </c>
      <c r="N73" s="204"/>
    </row>
    <row r="74" spans="1:14" ht="29.25" customHeight="1" x14ac:dyDescent="0.25">
      <c r="A74" s="274"/>
      <c r="B74" s="284" t="s">
        <v>383</v>
      </c>
      <c r="C74" s="285">
        <v>616</v>
      </c>
      <c r="D74" s="216">
        <v>3</v>
      </c>
      <c r="E74" s="222">
        <v>10</v>
      </c>
      <c r="F74" s="230" t="s">
        <v>1</v>
      </c>
      <c r="G74" s="237" t="s">
        <v>1</v>
      </c>
      <c r="H74" s="230" t="s">
        <v>1</v>
      </c>
      <c r="I74" s="243" t="s">
        <v>1</v>
      </c>
      <c r="J74" s="251" t="s">
        <v>1</v>
      </c>
      <c r="K74" s="257">
        <f t="shared" ref="K74:M79" si="14">372400/1000</f>
        <v>372.4</v>
      </c>
      <c r="L74" s="257">
        <f t="shared" si="14"/>
        <v>372.4</v>
      </c>
      <c r="M74" s="265">
        <f t="shared" si="14"/>
        <v>372.4</v>
      </c>
      <c r="N74" s="204"/>
    </row>
    <row r="75" spans="1:14" ht="23.25" customHeight="1" x14ac:dyDescent="0.25">
      <c r="A75" s="274"/>
      <c r="B75" s="281" t="s">
        <v>614</v>
      </c>
      <c r="C75" s="280">
        <v>616</v>
      </c>
      <c r="D75" s="214">
        <v>3</v>
      </c>
      <c r="E75" s="220">
        <v>10</v>
      </c>
      <c r="F75" s="228" t="s">
        <v>7</v>
      </c>
      <c r="G75" s="235" t="s">
        <v>5</v>
      </c>
      <c r="H75" s="228" t="s">
        <v>4</v>
      </c>
      <c r="I75" s="241" t="s">
        <v>3</v>
      </c>
      <c r="J75" s="249" t="s">
        <v>1</v>
      </c>
      <c r="K75" s="255">
        <f t="shared" si="14"/>
        <v>372.4</v>
      </c>
      <c r="L75" s="255">
        <f t="shared" si="14"/>
        <v>372.4</v>
      </c>
      <c r="M75" s="263">
        <f t="shared" si="14"/>
        <v>372.4</v>
      </c>
      <c r="N75" s="204"/>
    </row>
    <row r="76" spans="1:14" ht="29.25" customHeight="1" x14ac:dyDescent="0.25">
      <c r="A76" s="274"/>
      <c r="B76" s="281" t="s">
        <v>588</v>
      </c>
      <c r="C76" s="280">
        <v>616</v>
      </c>
      <c r="D76" s="214">
        <v>3</v>
      </c>
      <c r="E76" s="220">
        <v>10</v>
      </c>
      <c r="F76" s="228" t="s">
        <v>7</v>
      </c>
      <c r="G76" s="235" t="s">
        <v>31</v>
      </c>
      <c r="H76" s="228" t="s">
        <v>4</v>
      </c>
      <c r="I76" s="241" t="s">
        <v>3</v>
      </c>
      <c r="J76" s="249" t="s">
        <v>1</v>
      </c>
      <c r="K76" s="255">
        <f t="shared" si="14"/>
        <v>372.4</v>
      </c>
      <c r="L76" s="255">
        <f t="shared" si="14"/>
        <v>372.4</v>
      </c>
      <c r="M76" s="263">
        <f t="shared" si="14"/>
        <v>372.4</v>
      </c>
      <c r="N76" s="204"/>
    </row>
    <row r="77" spans="1:14" ht="126.75" customHeight="1" x14ac:dyDescent="0.25">
      <c r="A77" s="274"/>
      <c r="B77" s="281" t="s">
        <v>615</v>
      </c>
      <c r="C77" s="280">
        <v>616</v>
      </c>
      <c r="D77" s="214">
        <v>3</v>
      </c>
      <c r="E77" s="220">
        <v>10</v>
      </c>
      <c r="F77" s="228" t="s">
        <v>7</v>
      </c>
      <c r="G77" s="235" t="s">
        <v>31</v>
      </c>
      <c r="H77" s="228" t="s">
        <v>616</v>
      </c>
      <c r="I77" s="241" t="s">
        <v>3</v>
      </c>
      <c r="J77" s="249" t="s">
        <v>1</v>
      </c>
      <c r="K77" s="255">
        <f t="shared" si="14"/>
        <v>372.4</v>
      </c>
      <c r="L77" s="255">
        <f t="shared" si="14"/>
        <v>372.4</v>
      </c>
      <c r="M77" s="263">
        <f t="shared" si="14"/>
        <v>372.4</v>
      </c>
      <c r="N77" s="204"/>
    </row>
    <row r="78" spans="1:14" ht="43.5" customHeight="1" x14ac:dyDescent="0.25">
      <c r="A78" s="274"/>
      <c r="B78" s="281" t="s">
        <v>43</v>
      </c>
      <c r="C78" s="280">
        <v>616</v>
      </c>
      <c r="D78" s="214">
        <v>3</v>
      </c>
      <c r="E78" s="220">
        <v>10</v>
      </c>
      <c r="F78" s="228" t="s">
        <v>7</v>
      </c>
      <c r="G78" s="235" t="s">
        <v>31</v>
      </c>
      <c r="H78" s="228" t="s">
        <v>616</v>
      </c>
      <c r="I78" s="241" t="s">
        <v>42</v>
      </c>
      <c r="J78" s="249" t="s">
        <v>1</v>
      </c>
      <c r="K78" s="255">
        <f t="shared" si="14"/>
        <v>372.4</v>
      </c>
      <c r="L78" s="255">
        <f t="shared" si="14"/>
        <v>372.4</v>
      </c>
      <c r="M78" s="263">
        <f t="shared" si="14"/>
        <v>372.4</v>
      </c>
      <c r="N78" s="204"/>
    </row>
    <row r="79" spans="1:14" ht="30.75" customHeight="1" x14ac:dyDescent="0.25">
      <c r="A79" s="274"/>
      <c r="B79" s="282" t="s">
        <v>22</v>
      </c>
      <c r="C79" s="283">
        <v>616</v>
      </c>
      <c r="D79" s="215">
        <v>3</v>
      </c>
      <c r="E79" s="221">
        <v>10</v>
      </c>
      <c r="F79" s="229" t="s">
        <v>7</v>
      </c>
      <c r="G79" s="236" t="s">
        <v>31</v>
      </c>
      <c r="H79" s="229" t="s">
        <v>616</v>
      </c>
      <c r="I79" s="242" t="s">
        <v>42</v>
      </c>
      <c r="J79" s="250" t="s">
        <v>19</v>
      </c>
      <c r="K79" s="256">
        <f t="shared" si="14"/>
        <v>372.4</v>
      </c>
      <c r="L79" s="256">
        <f t="shared" si="14"/>
        <v>372.4</v>
      </c>
      <c r="M79" s="264">
        <f t="shared" si="14"/>
        <v>372.4</v>
      </c>
      <c r="N79" s="204"/>
    </row>
    <row r="80" spans="1:14" ht="78" customHeight="1" x14ac:dyDescent="0.25">
      <c r="A80" s="274"/>
      <c r="B80" s="288" t="s">
        <v>41</v>
      </c>
      <c r="C80" s="289">
        <v>616</v>
      </c>
      <c r="D80" s="217">
        <v>4</v>
      </c>
      <c r="E80" s="223" t="s">
        <v>1</v>
      </c>
      <c r="F80" s="231" t="s">
        <v>1</v>
      </c>
      <c r="G80" s="238" t="s">
        <v>1</v>
      </c>
      <c r="H80" s="231" t="s">
        <v>1</v>
      </c>
      <c r="I80" s="244" t="s">
        <v>1</v>
      </c>
      <c r="J80" s="252" t="s">
        <v>1</v>
      </c>
      <c r="K80" s="258">
        <f>2744520/1000</f>
        <v>2744.52</v>
      </c>
      <c r="L80" s="258">
        <f>2672260/1000</f>
        <v>2672.26</v>
      </c>
      <c r="M80" s="266">
        <f>2994330/1000</f>
        <v>2994.33</v>
      </c>
      <c r="N80" s="204"/>
    </row>
    <row r="81" spans="1:14" ht="57.75" customHeight="1" x14ac:dyDescent="0.25">
      <c r="A81" s="274"/>
      <c r="B81" s="279" t="s">
        <v>40</v>
      </c>
      <c r="C81" s="280">
        <v>616</v>
      </c>
      <c r="D81" s="214">
        <v>4</v>
      </c>
      <c r="E81" s="220">
        <v>9</v>
      </c>
      <c r="F81" s="228" t="s">
        <v>1</v>
      </c>
      <c r="G81" s="235" t="s">
        <v>1</v>
      </c>
      <c r="H81" s="228" t="s">
        <v>1</v>
      </c>
      <c r="I81" s="241" t="s">
        <v>1</v>
      </c>
      <c r="J81" s="249" t="s">
        <v>1</v>
      </c>
      <c r="K81" s="255">
        <f>2484520/1000</f>
        <v>2484.52</v>
      </c>
      <c r="L81" s="255">
        <f>2612260/1000</f>
        <v>2612.2600000000002</v>
      </c>
      <c r="M81" s="263">
        <f>2734330/1000</f>
        <v>2734.33</v>
      </c>
      <c r="N81" s="204"/>
    </row>
    <row r="82" spans="1:14" ht="43.5" customHeight="1" x14ac:dyDescent="0.25">
      <c r="A82" s="274"/>
      <c r="B82" s="281" t="s">
        <v>614</v>
      </c>
      <c r="C82" s="280">
        <v>616</v>
      </c>
      <c r="D82" s="214">
        <v>4</v>
      </c>
      <c r="E82" s="220">
        <v>9</v>
      </c>
      <c r="F82" s="228" t="s">
        <v>7</v>
      </c>
      <c r="G82" s="235" t="s">
        <v>5</v>
      </c>
      <c r="H82" s="228" t="s">
        <v>4</v>
      </c>
      <c r="I82" s="241" t="s">
        <v>3</v>
      </c>
      <c r="J82" s="249" t="s">
        <v>1</v>
      </c>
      <c r="K82" s="255">
        <f>2484520/1000</f>
        <v>2484.52</v>
      </c>
      <c r="L82" s="255">
        <f>2612260/1000</f>
        <v>2612.2600000000002</v>
      </c>
      <c r="M82" s="263">
        <f>2734330/1000</f>
        <v>2734.33</v>
      </c>
      <c r="N82" s="204"/>
    </row>
    <row r="83" spans="1:14" ht="43.5" customHeight="1" x14ac:dyDescent="0.25">
      <c r="A83" s="274"/>
      <c r="B83" s="281" t="s">
        <v>588</v>
      </c>
      <c r="C83" s="280">
        <v>616</v>
      </c>
      <c r="D83" s="214">
        <v>4</v>
      </c>
      <c r="E83" s="220">
        <v>9</v>
      </c>
      <c r="F83" s="228" t="s">
        <v>7</v>
      </c>
      <c r="G83" s="235" t="s">
        <v>31</v>
      </c>
      <c r="H83" s="228" t="s">
        <v>4</v>
      </c>
      <c r="I83" s="241" t="s">
        <v>3</v>
      </c>
      <c r="J83" s="249" t="s">
        <v>1</v>
      </c>
      <c r="K83" s="255">
        <f>2484520/1000</f>
        <v>2484.52</v>
      </c>
      <c r="L83" s="255">
        <f>2612260/1000</f>
        <v>2612.2600000000002</v>
      </c>
      <c r="M83" s="263">
        <f>2734330/1000</f>
        <v>2734.33</v>
      </c>
      <c r="N83" s="204"/>
    </row>
    <row r="84" spans="1:14" ht="43.5" customHeight="1" x14ac:dyDescent="0.25">
      <c r="A84" s="274"/>
      <c r="B84" s="281" t="s">
        <v>617</v>
      </c>
      <c r="C84" s="280">
        <v>616</v>
      </c>
      <c r="D84" s="214">
        <v>4</v>
      </c>
      <c r="E84" s="220">
        <v>9</v>
      </c>
      <c r="F84" s="228" t="s">
        <v>7</v>
      </c>
      <c r="G84" s="235" t="s">
        <v>31</v>
      </c>
      <c r="H84" s="228" t="s">
        <v>30</v>
      </c>
      <c r="I84" s="241" t="s">
        <v>3</v>
      </c>
      <c r="J84" s="249" t="s">
        <v>1</v>
      </c>
      <c r="K84" s="255">
        <f t="shared" ref="K84:M86" si="15">1114520/1000</f>
        <v>1114.52</v>
      </c>
      <c r="L84" s="255">
        <f t="shared" si="15"/>
        <v>1114.52</v>
      </c>
      <c r="M84" s="263">
        <f t="shared" si="15"/>
        <v>1114.52</v>
      </c>
      <c r="N84" s="204"/>
    </row>
    <row r="85" spans="1:14" ht="57.75" customHeight="1" x14ac:dyDescent="0.25">
      <c r="A85" s="274"/>
      <c r="B85" s="281" t="s">
        <v>38</v>
      </c>
      <c r="C85" s="280">
        <v>616</v>
      </c>
      <c r="D85" s="214">
        <v>4</v>
      </c>
      <c r="E85" s="220">
        <v>9</v>
      </c>
      <c r="F85" s="228" t="s">
        <v>7</v>
      </c>
      <c r="G85" s="235" t="s">
        <v>31</v>
      </c>
      <c r="H85" s="228" t="s">
        <v>30</v>
      </c>
      <c r="I85" s="241" t="s">
        <v>36</v>
      </c>
      <c r="J85" s="249" t="s">
        <v>1</v>
      </c>
      <c r="K85" s="255">
        <f t="shared" si="15"/>
        <v>1114.52</v>
      </c>
      <c r="L85" s="255">
        <f t="shared" si="15"/>
        <v>1114.52</v>
      </c>
      <c r="M85" s="263">
        <f t="shared" si="15"/>
        <v>1114.52</v>
      </c>
      <c r="N85" s="204"/>
    </row>
    <row r="86" spans="1:14" ht="78.75" customHeight="1" x14ac:dyDescent="0.25">
      <c r="A86" s="274"/>
      <c r="B86" s="282" t="s">
        <v>22</v>
      </c>
      <c r="C86" s="283">
        <v>616</v>
      </c>
      <c r="D86" s="215">
        <v>4</v>
      </c>
      <c r="E86" s="221">
        <v>9</v>
      </c>
      <c r="F86" s="229" t="s">
        <v>7</v>
      </c>
      <c r="G86" s="236" t="s">
        <v>31</v>
      </c>
      <c r="H86" s="229" t="s">
        <v>30</v>
      </c>
      <c r="I86" s="242" t="s">
        <v>36</v>
      </c>
      <c r="J86" s="250" t="s">
        <v>19</v>
      </c>
      <c r="K86" s="256">
        <f t="shared" si="15"/>
        <v>1114.52</v>
      </c>
      <c r="L86" s="256">
        <f t="shared" si="15"/>
        <v>1114.52</v>
      </c>
      <c r="M86" s="264">
        <f t="shared" si="15"/>
        <v>1114.52</v>
      </c>
      <c r="N86" s="204"/>
    </row>
    <row r="87" spans="1:14" ht="23.25" customHeight="1" x14ac:dyDescent="0.25">
      <c r="A87" s="274"/>
      <c r="B87" s="287" t="s">
        <v>618</v>
      </c>
      <c r="C87" s="285">
        <v>616</v>
      </c>
      <c r="D87" s="216">
        <v>4</v>
      </c>
      <c r="E87" s="222">
        <v>9</v>
      </c>
      <c r="F87" s="230" t="s">
        <v>7</v>
      </c>
      <c r="G87" s="237" t="s">
        <v>31</v>
      </c>
      <c r="H87" s="230" t="s">
        <v>37</v>
      </c>
      <c r="I87" s="243" t="s">
        <v>3</v>
      </c>
      <c r="J87" s="251" t="s">
        <v>1</v>
      </c>
      <c r="K87" s="257">
        <f>1370000/1000</f>
        <v>1370</v>
      </c>
      <c r="L87" s="257">
        <f>1497740/1000</f>
        <v>1497.74</v>
      </c>
      <c r="M87" s="265">
        <f>1619810/1000</f>
        <v>1619.81</v>
      </c>
      <c r="N87" s="204"/>
    </row>
    <row r="88" spans="1:14" ht="43.5" customHeight="1" x14ac:dyDescent="0.25">
      <c r="A88" s="274"/>
      <c r="B88" s="281" t="s">
        <v>23</v>
      </c>
      <c r="C88" s="280">
        <v>616</v>
      </c>
      <c r="D88" s="214">
        <v>4</v>
      </c>
      <c r="E88" s="220">
        <v>9</v>
      </c>
      <c r="F88" s="228" t="s">
        <v>7</v>
      </c>
      <c r="G88" s="235" t="s">
        <v>31</v>
      </c>
      <c r="H88" s="228" t="s">
        <v>37</v>
      </c>
      <c r="I88" s="241" t="s">
        <v>20</v>
      </c>
      <c r="J88" s="249" t="s">
        <v>1</v>
      </c>
      <c r="K88" s="255">
        <f>1370000/1000</f>
        <v>1370</v>
      </c>
      <c r="L88" s="255">
        <f>1497740/1000</f>
        <v>1497.74</v>
      </c>
      <c r="M88" s="263">
        <f>1619810/1000</f>
        <v>1619.81</v>
      </c>
      <c r="N88" s="204"/>
    </row>
    <row r="89" spans="1:14" ht="43.5" customHeight="1" x14ac:dyDescent="0.25">
      <c r="A89" s="274"/>
      <c r="B89" s="282" t="s">
        <v>22</v>
      </c>
      <c r="C89" s="283">
        <v>616</v>
      </c>
      <c r="D89" s="215">
        <v>4</v>
      </c>
      <c r="E89" s="221">
        <v>9</v>
      </c>
      <c r="F89" s="229" t="s">
        <v>7</v>
      </c>
      <c r="G89" s="236" t="s">
        <v>31</v>
      </c>
      <c r="H89" s="229" t="s">
        <v>37</v>
      </c>
      <c r="I89" s="242" t="s">
        <v>20</v>
      </c>
      <c r="J89" s="250" t="s">
        <v>19</v>
      </c>
      <c r="K89" s="256">
        <f>1370000/1000</f>
        <v>1370</v>
      </c>
      <c r="L89" s="256">
        <f>1497740/1000</f>
        <v>1497.74</v>
      </c>
      <c r="M89" s="264">
        <f>1619810/1000</f>
        <v>1619.81</v>
      </c>
      <c r="N89" s="204"/>
    </row>
    <row r="90" spans="1:14" ht="43.5" customHeight="1" x14ac:dyDescent="0.25">
      <c r="A90" s="274"/>
      <c r="B90" s="284" t="s">
        <v>35</v>
      </c>
      <c r="C90" s="285">
        <v>616</v>
      </c>
      <c r="D90" s="216">
        <v>4</v>
      </c>
      <c r="E90" s="222">
        <v>12</v>
      </c>
      <c r="F90" s="230" t="s">
        <v>1</v>
      </c>
      <c r="G90" s="237" t="s">
        <v>1</v>
      </c>
      <c r="H90" s="230" t="s">
        <v>1</v>
      </c>
      <c r="I90" s="243" t="s">
        <v>1</v>
      </c>
      <c r="J90" s="251" t="s">
        <v>1</v>
      </c>
      <c r="K90" s="257">
        <f t="shared" ref="K90:K95" si="16">260000/1000</f>
        <v>260</v>
      </c>
      <c r="L90" s="257">
        <f t="shared" ref="L90:L95" si="17">60000/1000</f>
        <v>60</v>
      </c>
      <c r="M90" s="265">
        <f t="shared" ref="M90:M95" si="18">260000/1000</f>
        <v>260</v>
      </c>
      <c r="N90" s="204"/>
    </row>
    <row r="91" spans="1:14" ht="43.5" customHeight="1" x14ac:dyDescent="0.25">
      <c r="A91" s="274"/>
      <c r="B91" s="281" t="s">
        <v>614</v>
      </c>
      <c r="C91" s="280">
        <v>616</v>
      </c>
      <c r="D91" s="214">
        <v>4</v>
      </c>
      <c r="E91" s="220">
        <v>12</v>
      </c>
      <c r="F91" s="228" t="s">
        <v>7</v>
      </c>
      <c r="G91" s="235" t="s">
        <v>5</v>
      </c>
      <c r="H91" s="228" t="s">
        <v>4</v>
      </c>
      <c r="I91" s="241" t="s">
        <v>3</v>
      </c>
      <c r="J91" s="249" t="s">
        <v>1</v>
      </c>
      <c r="K91" s="255">
        <f t="shared" si="16"/>
        <v>260</v>
      </c>
      <c r="L91" s="255">
        <f t="shared" si="17"/>
        <v>60</v>
      </c>
      <c r="M91" s="263">
        <f t="shared" si="18"/>
        <v>260</v>
      </c>
      <c r="N91" s="204"/>
    </row>
    <row r="92" spans="1:14" ht="23.25" customHeight="1" x14ac:dyDescent="0.25">
      <c r="A92" s="274"/>
      <c r="B92" s="281" t="s">
        <v>588</v>
      </c>
      <c r="C92" s="280">
        <v>616</v>
      </c>
      <c r="D92" s="214">
        <v>4</v>
      </c>
      <c r="E92" s="220">
        <v>12</v>
      </c>
      <c r="F92" s="228" t="s">
        <v>7</v>
      </c>
      <c r="G92" s="235" t="s">
        <v>31</v>
      </c>
      <c r="H92" s="228" t="s">
        <v>4</v>
      </c>
      <c r="I92" s="241" t="s">
        <v>3</v>
      </c>
      <c r="J92" s="249" t="s">
        <v>1</v>
      </c>
      <c r="K92" s="255">
        <f t="shared" si="16"/>
        <v>260</v>
      </c>
      <c r="L92" s="255">
        <f t="shared" si="17"/>
        <v>60</v>
      </c>
      <c r="M92" s="263">
        <f t="shared" si="18"/>
        <v>260</v>
      </c>
      <c r="N92" s="204"/>
    </row>
    <row r="93" spans="1:14" ht="63" customHeight="1" x14ac:dyDescent="0.25">
      <c r="A93" s="274"/>
      <c r="B93" s="281" t="s">
        <v>619</v>
      </c>
      <c r="C93" s="280">
        <v>616</v>
      </c>
      <c r="D93" s="214">
        <v>4</v>
      </c>
      <c r="E93" s="220">
        <v>12</v>
      </c>
      <c r="F93" s="228" t="s">
        <v>7</v>
      </c>
      <c r="G93" s="235" t="s">
        <v>31</v>
      </c>
      <c r="H93" s="228" t="s">
        <v>6</v>
      </c>
      <c r="I93" s="241" t="s">
        <v>3</v>
      </c>
      <c r="J93" s="249" t="s">
        <v>1</v>
      </c>
      <c r="K93" s="255">
        <f t="shared" si="16"/>
        <v>260</v>
      </c>
      <c r="L93" s="255">
        <f t="shared" si="17"/>
        <v>60</v>
      </c>
      <c r="M93" s="263">
        <f t="shared" si="18"/>
        <v>260</v>
      </c>
      <c r="N93" s="204"/>
    </row>
    <row r="94" spans="1:14" ht="43.5" customHeight="1" x14ac:dyDescent="0.25">
      <c r="A94" s="274"/>
      <c r="B94" s="281" t="s">
        <v>620</v>
      </c>
      <c r="C94" s="280">
        <v>616</v>
      </c>
      <c r="D94" s="214">
        <v>4</v>
      </c>
      <c r="E94" s="220">
        <v>12</v>
      </c>
      <c r="F94" s="228" t="s">
        <v>7</v>
      </c>
      <c r="G94" s="235" t="s">
        <v>31</v>
      </c>
      <c r="H94" s="228" t="s">
        <v>6</v>
      </c>
      <c r="I94" s="241" t="s">
        <v>621</v>
      </c>
      <c r="J94" s="249" t="s">
        <v>1</v>
      </c>
      <c r="K94" s="255">
        <f t="shared" si="16"/>
        <v>260</v>
      </c>
      <c r="L94" s="255">
        <f t="shared" si="17"/>
        <v>60</v>
      </c>
      <c r="M94" s="263">
        <f t="shared" si="18"/>
        <v>260</v>
      </c>
      <c r="N94" s="204"/>
    </row>
    <row r="95" spans="1:14" ht="23.25" customHeight="1" x14ac:dyDescent="0.25">
      <c r="A95" s="274"/>
      <c r="B95" s="282" t="s">
        <v>22</v>
      </c>
      <c r="C95" s="283">
        <v>616</v>
      </c>
      <c r="D95" s="215">
        <v>4</v>
      </c>
      <c r="E95" s="221">
        <v>12</v>
      </c>
      <c r="F95" s="229" t="s">
        <v>7</v>
      </c>
      <c r="G95" s="236" t="s">
        <v>31</v>
      </c>
      <c r="H95" s="229" t="s">
        <v>6</v>
      </c>
      <c r="I95" s="242" t="s">
        <v>621</v>
      </c>
      <c r="J95" s="250" t="s">
        <v>19</v>
      </c>
      <c r="K95" s="256">
        <f t="shared" si="16"/>
        <v>260</v>
      </c>
      <c r="L95" s="256">
        <f t="shared" si="17"/>
        <v>60</v>
      </c>
      <c r="M95" s="264">
        <f t="shared" si="18"/>
        <v>260</v>
      </c>
      <c r="N95" s="204"/>
    </row>
    <row r="96" spans="1:14" ht="23.25" customHeight="1" x14ac:dyDescent="0.25">
      <c r="A96" s="274"/>
      <c r="B96" s="288" t="s">
        <v>34</v>
      </c>
      <c r="C96" s="289">
        <v>616</v>
      </c>
      <c r="D96" s="217">
        <v>5</v>
      </c>
      <c r="E96" s="223" t="s">
        <v>1</v>
      </c>
      <c r="F96" s="231" t="s">
        <v>1</v>
      </c>
      <c r="G96" s="238" t="s">
        <v>1</v>
      </c>
      <c r="H96" s="231" t="s">
        <v>1</v>
      </c>
      <c r="I96" s="244" t="s">
        <v>1</v>
      </c>
      <c r="J96" s="252" t="s">
        <v>1</v>
      </c>
      <c r="K96" s="258">
        <f>3178750/1000</f>
        <v>3178.75</v>
      </c>
      <c r="L96" s="258">
        <f>2294367.05/1000</f>
        <v>2294.3670499999998</v>
      </c>
      <c r="M96" s="266">
        <f>2486317.08/1000</f>
        <v>2486.3170800000003</v>
      </c>
      <c r="N96" s="204"/>
    </row>
    <row r="97" spans="1:14" ht="78" customHeight="1" x14ac:dyDescent="0.25">
      <c r="A97" s="274"/>
      <c r="B97" s="279" t="s">
        <v>33</v>
      </c>
      <c r="C97" s="280">
        <v>616</v>
      </c>
      <c r="D97" s="214">
        <v>5</v>
      </c>
      <c r="E97" s="220">
        <v>1</v>
      </c>
      <c r="F97" s="228" t="s">
        <v>1</v>
      </c>
      <c r="G97" s="235" t="s">
        <v>1</v>
      </c>
      <c r="H97" s="228" t="s">
        <v>1</v>
      </c>
      <c r="I97" s="241" t="s">
        <v>1</v>
      </c>
      <c r="J97" s="249" t="s">
        <v>1</v>
      </c>
      <c r="K97" s="255">
        <f t="shared" ref="K97:M100" si="19">4800/1000</f>
        <v>4.8</v>
      </c>
      <c r="L97" s="255">
        <f t="shared" si="19"/>
        <v>4.8</v>
      </c>
      <c r="M97" s="263">
        <f t="shared" si="19"/>
        <v>4.8</v>
      </c>
      <c r="N97" s="204"/>
    </row>
    <row r="98" spans="1:14" ht="23.25" customHeight="1" x14ac:dyDescent="0.25">
      <c r="A98" s="274"/>
      <c r="B98" s="281" t="s">
        <v>614</v>
      </c>
      <c r="C98" s="280">
        <v>616</v>
      </c>
      <c r="D98" s="214">
        <v>5</v>
      </c>
      <c r="E98" s="220">
        <v>1</v>
      </c>
      <c r="F98" s="228" t="s">
        <v>7</v>
      </c>
      <c r="G98" s="235" t="s">
        <v>5</v>
      </c>
      <c r="H98" s="228" t="s">
        <v>4</v>
      </c>
      <c r="I98" s="241" t="s">
        <v>3</v>
      </c>
      <c r="J98" s="249" t="s">
        <v>1</v>
      </c>
      <c r="K98" s="255">
        <f t="shared" si="19"/>
        <v>4.8</v>
      </c>
      <c r="L98" s="255">
        <f t="shared" si="19"/>
        <v>4.8</v>
      </c>
      <c r="M98" s="263">
        <f t="shared" si="19"/>
        <v>4.8</v>
      </c>
      <c r="N98" s="204"/>
    </row>
    <row r="99" spans="1:14" ht="43.5" customHeight="1" x14ac:dyDescent="0.25">
      <c r="A99" s="274"/>
      <c r="B99" s="281" t="s">
        <v>588</v>
      </c>
      <c r="C99" s="280">
        <v>616</v>
      </c>
      <c r="D99" s="214">
        <v>5</v>
      </c>
      <c r="E99" s="220">
        <v>1</v>
      </c>
      <c r="F99" s="228" t="s">
        <v>7</v>
      </c>
      <c r="G99" s="235" t="s">
        <v>31</v>
      </c>
      <c r="H99" s="228" t="s">
        <v>4</v>
      </c>
      <c r="I99" s="241" t="s">
        <v>3</v>
      </c>
      <c r="J99" s="249" t="s">
        <v>1</v>
      </c>
      <c r="K99" s="255">
        <f t="shared" si="19"/>
        <v>4.8</v>
      </c>
      <c r="L99" s="255">
        <f t="shared" si="19"/>
        <v>4.8</v>
      </c>
      <c r="M99" s="263">
        <f t="shared" si="19"/>
        <v>4.8</v>
      </c>
      <c r="N99" s="204"/>
    </row>
    <row r="100" spans="1:14" ht="29.25" customHeight="1" x14ac:dyDescent="0.25">
      <c r="A100" s="274"/>
      <c r="B100" s="281" t="s">
        <v>622</v>
      </c>
      <c r="C100" s="280">
        <v>616</v>
      </c>
      <c r="D100" s="214">
        <v>5</v>
      </c>
      <c r="E100" s="220">
        <v>1</v>
      </c>
      <c r="F100" s="228" t="s">
        <v>7</v>
      </c>
      <c r="G100" s="235" t="s">
        <v>31</v>
      </c>
      <c r="H100" s="228" t="s">
        <v>21</v>
      </c>
      <c r="I100" s="241" t="s">
        <v>3</v>
      </c>
      <c r="J100" s="249" t="s">
        <v>1</v>
      </c>
      <c r="K100" s="255">
        <f t="shared" si="19"/>
        <v>4.8</v>
      </c>
      <c r="L100" s="255">
        <f t="shared" si="19"/>
        <v>4.8</v>
      </c>
      <c r="M100" s="263">
        <f t="shared" si="19"/>
        <v>4.8</v>
      </c>
      <c r="N100" s="204"/>
    </row>
    <row r="101" spans="1:14" ht="43.5" customHeight="1" x14ac:dyDescent="0.25">
      <c r="A101" s="274"/>
      <c r="B101" s="281" t="s">
        <v>32</v>
      </c>
      <c r="C101" s="280">
        <v>616</v>
      </c>
      <c r="D101" s="214">
        <v>5</v>
      </c>
      <c r="E101" s="220">
        <v>1</v>
      </c>
      <c r="F101" s="228" t="s">
        <v>7</v>
      </c>
      <c r="G101" s="235" t="s">
        <v>31</v>
      </c>
      <c r="H101" s="228" t="s">
        <v>21</v>
      </c>
      <c r="I101" s="241" t="s">
        <v>29</v>
      </c>
      <c r="J101" s="249" t="s">
        <v>1</v>
      </c>
      <c r="K101" s="255">
        <f>4800/1000</f>
        <v>4.8</v>
      </c>
      <c r="L101" s="255">
        <f>4800/1000</f>
        <v>4.8</v>
      </c>
      <c r="M101" s="263">
        <f>4800/100</f>
        <v>48</v>
      </c>
      <c r="N101" s="204"/>
    </row>
    <row r="102" spans="1:14" ht="43.5" customHeight="1" x14ac:dyDescent="0.25">
      <c r="A102" s="274"/>
      <c r="B102" s="282" t="s">
        <v>22</v>
      </c>
      <c r="C102" s="283">
        <v>616</v>
      </c>
      <c r="D102" s="215">
        <v>5</v>
      </c>
      <c r="E102" s="221">
        <v>1</v>
      </c>
      <c r="F102" s="229" t="s">
        <v>7</v>
      </c>
      <c r="G102" s="236" t="s">
        <v>31</v>
      </c>
      <c r="H102" s="229" t="s">
        <v>21</v>
      </c>
      <c r="I102" s="242" t="s">
        <v>29</v>
      </c>
      <c r="J102" s="250" t="s">
        <v>19</v>
      </c>
      <c r="K102" s="256">
        <f>4800/1000</f>
        <v>4.8</v>
      </c>
      <c r="L102" s="256">
        <f>4800/1000</f>
        <v>4.8</v>
      </c>
      <c r="M102" s="264">
        <f>4800/1000</f>
        <v>4.8</v>
      </c>
      <c r="N102" s="204"/>
    </row>
    <row r="103" spans="1:14" ht="29.25" customHeight="1" x14ac:dyDescent="0.25">
      <c r="A103" s="274"/>
      <c r="B103" s="284" t="s">
        <v>28</v>
      </c>
      <c r="C103" s="285">
        <v>616</v>
      </c>
      <c r="D103" s="216">
        <v>5</v>
      </c>
      <c r="E103" s="222">
        <v>2</v>
      </c>
      <c r="F103" s="230" t="s">
        <v>1</v>
      </c>
      <c r="G103" s="237" t="s">
        <v>1</v>
      </c>
      <c r="H103" s="230" t="s">
        <v>1</v>
      </c>
      <c r="I103" s="243" t="s">
        <v>1</v>
      </c>
      <c r="J103" s="251" t="s">
        <v>1</v>
      </c>
      <c r="K103" s="257">
        <f t="shared" ref="K103:M108" si="20">1022500/1000</f>
        <v>1022.5</v>
      </c>
      <c r="L103" s="257">
        <f t="shared" si="20"/>
        <v>1022.5</v>
      </c>
      <c r="M103" s="265">
        <f t="shared" si="20"/>
        <v>1022.5</v>
      </c>
      <c r="N103" s="204"/>
    </row>
    <row r="104" spans="1:14" ht="46.5" customHeight="1" x14ac:dyDescent="0.25">
      <c r="A104" s="274"/>
      <c r="B104" s="281" t="s">
        <v>614</v>
      </c>
      <c r="C104" s="280">
        <v>616</v>
      </c>
      <c r="D104" s="214">
        <v>5</v>
      </c>
      <c r="E104" s="220">
        <v>2</v>
      </c>
      <c r="F104" s="228" t="s">
        <v>7</v>
      </c>
      <c r="G104" s="235" t="s">
        <v>5</v>
      </c>
      <c r="H104" s="228" t="s">
        <v>4</v>
      </c>
      <c r="I104" s="241" t="s">
        <v>3</v>
      </c>
      <c r="J104" s="249" t="s">
        <v>1</v>
      </c>
      <c r="K104" s="255">
        <f t="shared" si="20"/>
        <v>1022.5</v>
      </c>
      <c r="L104" s="255">
        <f t="shared" si="20"/>
        <v>1022.5</v>
      </c>
      <c r="M104" s="263">
        <f t="shared" si="20"/>
        <v>1022.5</v>
      </c>
      <c r="N104" s="204"/>
    </row>
    <row r="105" spans="1:14" ht="43.5" customHeight="1" x14ac:dyDescent="0.25">
      <c r="A105" s="274"/>
      <c r="B105" s="281" t="s">
        <v>588</v>
      </c>
      <c r="C105" s="280">
        <v>616</v>
      </c>
      <c r="D105" s="214">
        <v>5</v>
      </c>
      <c r="E105" s="220">
        <v>2</v>
      </c>
      <c r="F105" s="228" t="s">
        <v>7</v>
      </c>
      <c r="G105" s="235" t="s">
        <v>31</v>
      </c>
      <c r="H105" s="228" t="s">
        <v>4</v>
      </c>
      <c r="I105" s="241" t="s">
        <v>3</v>
      </c>
      <c r="J105" s="249" t="s">
        <v>1</v>
      </c>
      <c r="K105" s="255">
        <f t="shared" si="20"/>
        <v>1022.5</v>
      </c>
      <c r="L105" s="255">
        <f t="shared" si="20"/>
        <v>1022.5</v>
      </c>
      <c r="M105" s="263">
        <f t="shared" si="20"/>
        <v>1022.5</v>
      </c>
      <c r="N105" s="204"/>
    </row>
    <row r="106" spans="1:14" ht="29.25" customHeight="1" x14ac:dyDescent="0.25">
      <c r="A106" s="274"/>
      <c r="B106" s="281" t="s">
        <v>623</v>
      </c>
      <c r="C106" s="280">
        <v>616</v>
      </c>
      <c r="D106" s="214">
        <v>5</v>
      </c>
      <c r="E106" s="220">
        <v>2</v>
      </c>
      <c r="F106" s="228" t="s">
        <v>7</v>
      </c>
      <c r="G106" s="235" t="s">
        <v>31</v>
      </c>
      <c r="H106" s="228" t="s">
        <v>48</v>
      </c>
      <c r="I106" s="241" t="s">
        <v>3</v>
      </c>
      <c r="J106" s="249" t="s">
        <v>1</v>
      </c>
      <c r="K106" s="255">
        <f t="shared" si="20"/>
        <v>1022.5</v>
      </c>
      <c r="L106" s="255">
        <f t="shared" si="20"/>
        <v>1022.5</v>
      </c>
      <c r="M106" s="263">
        <f t="shared" si="20"/>
        <v>1022.5</v>
      </c>
      <c r="N106" s="204"/>
    </row>
    <row r="107" spans="1:14" ht="75.75" customHeight="1" x14ac:dyDescent="0.25">
      <c r="A107" s="274"/>
      <c r="B107" s="281" t="s">
        <v>27</v>
      </c>
      <c r="C107" s="280">
        <v>616</v>
      </c>
      <c r="D107" s="214">
        <v>5</v>
      </c>
      <c r="E107" s="220">
        <v>2</v>
      </c>
      <c r="F107" s="228" t="s">
        <v>7</v>
      </c>
      <c r="G107" s="235" t="s">
        <v>31</v>
      </c>
      <c r="H107" s="228" t="s">
        <v>48</v>
      </c>
      <c r="I107" s="241" t="s">
        <v>26</v>
      </c>
      <c r="J107" s="249" t="s">
        <v>1</v>
      </c>
      <c r="K107" s="255">
        <f t="shared" si="20"/>
        <v>1022.5</v>
      </c>
      <c r="L107" s="255">
        <f t="shared" si="20"/>
        <v>1022.5</v>
      </c>
      <c r="M107" s="263">
        <f t="shared" si="20"/>
        <v>1022.5</v>
      </c>
      <c r="N107" s="204"/>
    </row>
    <row r="108" spans="1:14" ht="29.25" customHeight="1" x14ac:dyDescent="0.25">
      <c r="A108" s="274"/>
      <c r="B108" s="282" t="s">
        <v>22</v>
      </c>
      <c r="C108" s="283">
        <v>616</v>
      </c>
      <c r="D108" s="215">
        <v>5</v>
      </c>
      <c r="E108" s="221">
        <v>2</v>
      </c>
      <c r="F108" s="229" t="s">
        <v>7</v>
      </c>
      <c r="G108" s="236" t="s">
        <v>31</v>
      </c>
      <c r="H108" s="229" t="s">
        <v>48</v>
      </c>
      <c r="I108" s="242" t="s">
        <v>26</v>
      </c>
      <c r="J108" s="250" t="s">
        <v>19</v>
      </c>
      <c r="K108" s="256">
        <f t="shared" si="20"/>
        <v>1022.5</v>
      </c>
      <c r="L108" s="256">
        <f t="shared" si="20"/>
        <v>1022.5</v>
      </c>
      <c r="M108" s="264">
        <f t="shared" si="20"/>
        <v>1022.5</v>
      </c>
      <c r="N108" s="204"/>
    </row>
    <row r="109" spans="1:14" ht="24" customHeight="1" x14ac:dyDescent="0.25">
      <c r="A109" s="274"/>
      <c r="B109" s="284" t="s">
        <v>25</v>
      </c>
      <c r="C109" s="285">
        <v>616</v>
      </c>
      <c r="D109" s="216">
        <v>5</v>
      </c>
      <c r="E109" s="222">
        <v>3</v>
      </c>
      <c r="F109" s="230" t="s">
        <v>1</v>
      </c>
      <c r="G109" s="237" t="s">
        <v>1</v>
      </c>
      <c r="H109" s="230" t="s">
        <v>1</v>
      </c>
      <c r="I109" s="243" t="s">
        <v>1</v>
      </c>
      <c r="J109" s="251" t="s">
        <v>1</v>
      </c>
      <c r="K109" s="257">
        <f>2151450/1000</f>
        <v>2151.4499999999998</v>
      </c>
      <c r="L109" s="257">
        <f>1267067.05/1000</f>
        <v>1267.0670500000001</v>
      </c>
      <c r="M109" s="265">
        <f>1459017.08/1000</f>
        <v>1459.0170800000001</v>
      </c>
      <c r="N109" s="204"/>
    </row>
    <row r="110" spans="1:14" ht="47.25" customHeight="1" x14ac:dyDescent="0.25">
      <c r="A110" s="274"/>
      <c r="B110" s="281" t="s">
        <v>614</v>
      </c>
      <c r="C110" s="280">
        <v>616</v>
      </c>
      <c r="D110" s="214">
        <v>5</v>
      </c>
      <c r="E110" s="220">
        <v>3</v>
      </c>
      <c r="F110" s="228" t="s">
        <v>7</v>
      </c>
      <c r="G110" s="235" t="s">
        <v>5</v>
      </c>
      <c r="H110" s="228" t="s">
        <v>4</v>
      </c>
      <c r="I110" s="241" t="s">
        <v>3</v>
      </c>
      <c r="J110" s="249" t="s">
        <v>1</v>
      </c>
      <c r="K110" s="255">
        <f>2151450/1000</f>
        <v>2151.4499999999998</v>
      </c>
      <c r="L110" s="255">
        <f>1267067.05/1000</f>
        <v>1267.0670500000001</v>
      </c>
      <c r="M110" s="263">
        <f>1459017.08/1000</f>
        <v>1459.0170800000001</v>
      </c>
      <c r="N110" s="204"/>
    </row>
    <row r="111" spans="1:14" ht="37.5" customHeight="1" x14ac:dyDescent="0.25">
      <c r="A111" s="274"/>
      <c r="B111" s="281" t="s">
        <v>588</v>
      </c>
      <c r="C111" s="280">
        <v>616</v>
      </c>
      <c r="D111" s="214">
        <v>5</v>
      </c>
      <c r="E111" s="220">
        <v>3</v>
      </c>
      <c r="F111" s="228" t="s">
        <v>7</v>
      </c>
      <c r="G111" s="235" t="s">
        <v>31</v>
      </c>
      <c r="H111" s="228" t="s">
        <v>4</v>
      </c>
      <c r="I111" s="241" t="s">
        <v>3</v>
      </c>
      <c r="J111" s="249" t="s">
        <v>1</v>
      </c>
      <c r="K111" s="255">
        <f>2151450/1000</f>
        <v>2151.4499999999998</v>
      </c>
      <c r="L111" s="255">
        <f>1267067.05/1000</f>
        <v>1267.0670500000001</v>
      </c>
      <c r="M111" s="263">
        <f>1459017.08/1000</f>
        <v>1459.0170800000001</v>
      </c>
      <c r="N111" s="204"/>
    </row>
    <row r="112" spans="1:14" ht="43.5" customHeight="1" x14ac:dyDescent="0.25">
      <c r="A112" s="274"/>
      <c r="B112" s="281" t="s">
        <v>624</v>
      </c>
      <c r="C112" s="280">
        <v>616</v>
      </c>
      <c r="D112" s="214">
        <v>5</v>
      </c>
      <c r="E112" s="220">
        <v>3</v>
      </c>
      <c r="F112" s="228" t="s">
        <v>7</v>
      </c>
      <c r="G112" s="235" t="s">
        <v>31</v>
      </c>
      <c r="H112" s="228" t="s">
        <v>39</v>
      </c>
      <c r="I112" s="241" t="s">
        <v>3</v>
      </c>
      <c r="J112" s="249" t="s">
        <v>1</v>
      </c>
      <c r="K112" s="255">
        <f>1351450/1000</f>
        <v>1351.45</v>
      </c>
      <c r="L112" s="255">
        <f>467067.05/1000</f>
        <v>467.06704999999999</v>
      </c>
      <c r="M112" s="263">
        <f>659017.08/1000</f>
        <v>659.01707999999996</v>
      </c>
      <c r="N112" s="204"/>
    </row>
    <row r="113" spans="1:14" ht="29.25" customHeight="1" x14ac:dyDescent="0.25">
      <c r="A113" s="274"/>
      <c r="B113" s="281" t="s">
        <v>625</v>
      </c>
      <c r="C113" s="280">
        <v>616</v>
      </c>
      <c r="D113" s="214">
        <v>5</v>
      </c>
      <c r="E113" s="220">
        <v>3</v>
      </c>
      <c r="F113" s="228" t="s">
        <v>7</v>
      </c>
      <c r="G113" s="235" t="s">
        <v>31</v>
      </c>
      <c r="H113" s="228" t="s">
        <v>39</v>
      </c>
      <c r="I113" s="241" t="s">
        <v>24</v>
      </c>
      <c r="J113" s="249" t="s">
        <v>1</v>
      </c>
      <c r="K113" s="255">
        <f>1351450/1000</f>
        <v>1351.45</v>
      </c>
      <c r="L113" s="255">
        <f>467067.05/1000</f>
        <v>467.06704999999999</v>
      </c>
      <c r="M113" s="263">
        <f>659017.08/1000</f>
        <v>659.01707999999996</v>
      </c>
      <c r="N113" s="204"/>
    </row>
    <row r="114" spans="1:14" ht="45" customHeight="1" x14ac:dyDescent="0.25">
      <c r="A114" s="274"/>
      <c r="B114" s="282" t="s">
        <v>22</v>
      </c>
      <c r="C114" s="283">
        <v>616</v>
      </c>
      <c r="D114" s="215">
        <v>5</v>
      </c>
      <c r="E114" s="221">
        <v>3</v>
      </c>
      <c r="F114" s="229" t="s">
        <v>7</v>
      </c>
      <c r="G114" s="236" t="s">
        <v>31</v>
      </c>
      <c r="H114" s="229" t="s">
        <v>39</v>
      </c>
      <c r="I114" s="242" t="s">
        <v>24</v>
      </c>
      <c r="J114" s="250" t="s">
        <v>19</v>
      </c>
      <c r="K114" s="256">
        <f>1351450/1000</f>
        <v>1351.45</v>
      </c>
      <c r="L114" s="256">
        <f>467067.05/1000</f>
        <v>467.06704999999999</v>
      </c>
      <c r="M114" s="264">
        <f>659017.08/1000</f>
        <v>659.01707999999996</v>
      </c>
      <c r="N114" s="204"/>
    </row>
    <row r="115" spans="1:14" ht="29.25" customHeight="1" x14ac:dyDescent="0.25">
      <c r="A115" s="274"/>
      <c r="B115" s="287" t="s">
        <v>618</v>
      </c>
      <c r="C115" s="285">
        <v>616</v>
      </c>
      <c r="D115" s="216">
        <v>5</v>
      </c>
      <c r="E115" s="222">
        <v>3</v>
      </c>
      <c r="F115" s="230" t="s">
        <v>7</v>
      </c>
      <c r="G115" s="237" t="s">
        <v>31</v>
      </c>
      <c r="H115" s="230" t="s">
        <v>37</v>
      </c>
      <c r="I115" s="243" t="s">
        <v>3</v>
      </c>
      <c r="J115" s="251" t="s">
        <v>1</v>
      </c>
      <c r="K115" s="257">
        <f t="shared" ref="K115:M117" si="21">800000/1000</f>
        <v>800</v>
      </c>
      <c r="L115" s="257">
        <f t="shared" si="21"/>
        <v>800</v>
      </c>
      <c r="M115" s="265">
        <f t="shared" si="21"/>
        <v>800</v>
      </c>
      <c r="N115" s="204"/>
    </row>
    <row r="116" spans="1:14" ht="23.25" customHeight="1" x14ac:dyDescent="0.25">
      <c r="A116" s="274"/>
      <c r="B116" s="281" t="s">
        <v>23</v>
      </c>
      <c r="C116" s="280">
        <v>616</v>
      </c>
      <c r="D116" s="214">
        <v>5</v>
      </c>
      <c r="E116" s="220">
        <v>3</v>
      </c>
      <c r="F116" s="228" t="s">
        <v>7</v>
      </c>
      <c r="G116" s="235" t="s">
        <v>31</v>
      </c>
      <c r="H116" s="228" t="s">
        <v>37</v>
      </c>
      <c r="I116" s="241" t="s">
        <v>20</v>
      </c>
      <c r="J116" s="249" t="s">
        <v>1</v>
      </c>
      <c r="K116" s="255">
        <f t="shared" si="21"/>
        <v>800</v>
      </c>
      <c r="L116" s="255">
        <f t="shared" si="21"/>
        <v>800</v>
      </c>
      <c r="M116" s="263">
        <f t="shared" si="21"/>
        <v>800</v>
      </c>
      <c r="N116" s="204"/>
    </row>
    <row r="117" spans="1:14" ht="61.5" customHeight="1" x14ac:dyDescent="0.25">
      <c r="A117" s="274"/>
      <c r="B117" s="282" t="s">
        <v>22</v>
      </c>
      <c r="C117" s="283">
        <v>616</v>
      </c>
      <c r="D117" s="215">
        <v>5</v>
      </c>
      <c r="E117" s="221">
        <v>3</v>
      </c>
      <c r="F117" s="229" t="s">
        <v>7</v>
      </c>
      <c r="G117" s="236" t="s">
        <v>31</v>
      </c>
      <c r="H117" s="229" t="s">
        <v>37</v>
      </c>
      <c r="I117" s="242" t="s">
        <v>20</v>
      </c>
      <c r="J117" s="250" t="s">
        <v>19</v>
      </c>
      <c r="K117" s="256">
        <f t="shared" si="21"/>
        <v>800</v>
      </c>
      <c r="L117" s="256">
        <f t="shared" si="21"/>
        <v>800</v>
      </c>
      <c r="M117" s="264">
        <f t="shared" si="21"/>
        <v>800</v>
      </c>
      <c r="N117" s="204"/>
    </row>
    <row r="118" spans="1:14" ht="23.25" customHeight="1" x14ac:dyDescent="0.25">
      <c r="A118" s="274"/>
      <c r="B118" s="288" t="s">
        <v>18</v>
      </c>
      <c r="C118" s="289">
        <v>616</v>
      </c>
      <c r="D118" s="217">
        <v>8</v>
      </c>
      <c r="E118" s="223" t="s">
        <v>1</v>
      </c>
      <c r="F118" s="231" t="s">
        <v>1</v>
      </c>
      <c r="G118" s="238" t="s">
        <v>1</v>
      </c>
      <c r="H118" s="231" t="s">
        <v>1</v>
      </c>
      <c r="I118" s="244" t="s">
        <v>1</v>
      </c>
      <c r="J118" s="252" t="s">
        <v>1</v>
      </c>
      <c r="K118" s="258">
        <f>3901270/1000</f>
        <v>3901.27</v>
      </c>
      <c r="L118" s="258">
        <f t="shared" ref="L118:M122" si="22">3542270/1000</f>
        <v>3542.27</v>
      </c>
      <c r="M118" s="266">
        <f t="shared" si="22"/>
        <v>3542.27</v>
      </c>
      <c r="N118" s="204"/>
    </row>
    <row r="119" spans="1:14" ht="29.25" customHeight="1" x14ac:dyDescent="0.25">
      <c r="A119" s="274"/>
      <c r="B119" s="279" t="s">
        <v>17</v>
      </c>
      <c r="C119" s="280">
        <v>616</v>
      </c>
      <c r="D119" s="214">
        <v>8</v>
      </c>
      <c r="E119" s="220">
        <v>1</v>
      </c>
      <c r="F119" s="228" t="s">
        <v>1</v>
      </c>
      <c r="G119" s="235" t="s">
        <v>1</v>
      </c>
      <c r="H119" s="228" t="s">
        <v>1</v>
      </c>
      <c r="I119" s="241" t="s">
        <v>1</v>
      </c>
      <c r="J119" s="249" t="s">
        <v>1</v>
      </c>
      <c r="K119" s="255">
        <f>3901270/1000</f>
        <v>3901.27</v>
      </c>
      <c r="L119" s="255">
        <f t="shared" si="22"/>
        <v>3542.27</v>
      </c>
      <c r="M119" s="263">
        <f t="shared" si="22"/>
        <v>3542.27</v>
      </c>
      <c r="N119" s="204"/>
    </row>
    <row r="120" spans="1:14" ht="23.25" customHeight="1" x14ac:dyDescent="0.25">
      <c r="A120" s="274"/>
      <c r="B120" s="281" t="s">
        <v>626</v>
      </c>
      <c r="C120" s="280">
        <v>616</v>
      </c>
      <c r="D120" s="214">
        <v>8</v>
      </c>
      <c r="E120" s="220">
        <v>1</v>
      </c>
      <c r="F120" s="228" t="s">
        <v>14</v>
      </c>
      <c r="G120" s="235" t="s">
        <v>5</v>
      </c>
      <c r="H120" s="228" t="s">
        <v>4</v>
      </c>
      <c r="I120" s="241" t="s">
        <v>3</v>
      </c>
      <c r="J120" s="249" t="s">
        <v>1</v>
      </c>
      <c r="K120" s="255">
        <f>3901270/1000</f>
        <v>3901.27</v>
      </c>
      <c r="L120" s="255">
        <f t="shared" si="22"/>
        <v>3542.27</v>
      </c>
      <c r="M120" s="263">
        <f t="shared" si="22"/>
        <v>3542.27</v>
      </c>
      <c r="N120" s="204"/>
    </row>
    <row r="121" spans="1:14" ht="43.5" customHeight="1" x14ac:dyDescent="0.25">
      <c r="A121" s="274"/>
      <c r="B121" s="281" t="s">
        <v>588</v>
      </c>
      <c r="C121" s="280">
        <v>616</v>
      </c>
      <c r="D121" s="214">
        <v>8</v>
      </c>
      <c r="E121" s="220">
        <v>1</v>
      </c>
      <c r="F121" s="228" t="s">
        <v>14</v>
      </c>
      <c r="G121" s="235" t="s">
        <v>31</v>
      </c>
      <c r="H121" s="228" t="s">
        <v>4</v>
      </c>
      <c r="I121" s="241" t="s">
        <v>3</v>
      </c>
      <c r="J121" s="249" t="s">
        <v>1</v>
      </c>
      <c r="K121" s="255">
        <f>3901270/1000</f>
        <v>3901.27</v>
      </c>
      <c r="L121" s="255">
        <f t="shared" si="22"/>
        <v>3542.27</v>
      </c>
      <c r="M121" s="263">
        <f t="shared" si="22"/>
        <v>3542.27</v>
      </c>
      <c r="N121" s="204"/>
    </row>
    <row r="122" spans="1:14" ht="36" customHeight="1" x14ac:dyDescent="0.25">
      <c r="A122" s="274"/>
      <c r="B122" s="281" t="s">
        <v>627</v>
      </c>
      <c r="C122" s="280">
        <v>616</v>
      </c>
      <c r="D122" s="214">
        <v>8</v>
      </c>
      <c r="E122" s="220">
        <v>1</v>
      </c>
      <c r="F122" s="228" t="s">
        <v>14</v>
      </c>
      <c r="G122" s="235" t="s">
        <v>31</v>
      </c>
      <c r="H122" s="228" t="s">
        <v>30</v>
      </c>
      <c r="I122" s="241" t="s">
        <v>3</v>
      </c>
      <c r="J122" s="249" t="s">
        <v>1</v>
      </c>
      <c r="K122" s="255">
        <f>3901270/1000</f>
        <v>3901.27</v>
      </c>
      <c r="L122" s="255">
        <f t="shared" si="22"/>
        <v>3542.27</v>
      </c>
      <c r="M122" s="263">
        <f t="shared" si="22"/>
        <v>3542.27</v>
      </c>
      <c r="N122" s="204"/>
    </row>
    <row r="123" spans="1:14" ht="43.5" customHeight="1" x14ac:dyDescent="0.25">
      <c r="A123" s="274"/>
      <c r="B123" s="281" t="s">
        <v>377</v>
      </c>
      <c r="C123" s="280">
        <v>616</v>
      </c>
      <c r="D123" s="214">
        <v>8</v>
      </c>
      <c r="E123" s="220">
        <v>1</v>
      </c>
      <c r="F123" s="228" t="s">
        <v>14</v>
      </c>
      <c r="G123" s="235" t="s">
        <v>31</v>
      </c>
      <c r="H123" s="228" t="s">
        <v>30</v>
      </c>
      <c r="I123" s="241" t="s">
        <v>628</v>
      </c>
      <c r="J123" s="249" t="s">
        <v>1</v>
      </c>
      <c r="K123" s="255">
        <f>359000/1000</f>
        <v>359</v>
      </c>
      <c r="L123" s="255">
        <v>0</v>
      </c>
      <c r="M123" s="263">
        <v>0</v>
      </c>
      <c r="N123" s="204"/>
    </row>
    <row r="124" spans="1:14" ht="23.25" customHeight="1" x14ac:dyDescent="0.25">
      <c r="A124" s="274"/>
      <c r="B124" s="282" t="s">
        <v>15</v>
      </c>
      <c r="C124" s="283">
        <v>616</v>
      </c>
      <c r="D124" s="215">
        <v>8</v>
      </c>
      <c r="E124" s="221">
        <v>1</v>
      </c>
      <c r="F124" s="229" t="s">
        <v>14</v>
      </c>
      <c r="G124" s="236" t="s">
        <v>31</v>
      </c>
      <c r="H124" s="229" t="s">
        <v>30</v>
      </c>
      <c r="I124" s="242" t="s">
        <v>628</v>
      </c>
      <c r="J124" s="250" t="s">
        <v>12</v>
      </c>
      <c r="K124" s="256">
        <f>359000/1000</f>
        <v>359</v>
      </c>
      <c r="L124" s="256">
        <v>0</v>
      </c>
      <c r="M124" s="264">
        <v>0</v>
      </c>
      <c r="N124" s="204"/>
    </row>
    <row r="125" spans="1:14" ht="79.5" customHeight="1" x14ac:dyDescent="0.25">
      <c r="A125" s="274"/>
      <c r="B125" s="287" t="s">
        <v>16</v>
      </c>
      <c r="C125" s="285">
        <v>616</v>
      </c>
      <c r="D125" s="216">
        <v>8</v>
      </c>
      <c r="E125" s="222">
        <v>1</v>
      </c>
      <c r="F125" s="230" t="s">
        <v>14</v>
      </c>
      <c r="G125" s="237" t="s">
        <v>31</v>
      </c>
      <c r="H125" s="230" t="s">
        <v>30</v>
      </c>
      <c r="I125" s="243" t="s">
        <v>13</v>
      </c>
      <c r="J125" s="251" t="s">
        <v>1</v>
      </c>
      <c r="K125" s="257">
        <f t="shared" ref="K125:M126" si="23">3534970/1000</f>
        <v>3534.97</v>
      </c>
      <c r="L125" s="257">
        <f t="shared" si="23"/>
        <v>3534.97</v>
      </c>
      <c r="M125" s="265">
        <f t="shared" si="23"/>
        <v>3534.97</v>
      </c>
      <c r="N125" s="204"/>
    </row>
    <row r="126" spans="1:14" ht="43.5" customHeight="1" x14ac:dyDescent="0.25">
      <c r="A126" s="274"/>
      <c r="B126" s="282" t="s">
        <v>15</v>
      </c>
      <c r="C126" s="283">
        <v>616</v>
      </c>
      <c r="D126" s="215">
        <v>8</v>
      </c>
      <c r="E126" s="221">
        <v>1</v>
      </c>
      <c r="F126" s="229" t="s">
        <v>14</v>
      </c>
      <c r="G126" s="236" t="s">
        <v>31</v>
      </c>
      <c r="H126" s="229" t="s">
        <v>30</v>
      </c>
      <c r="I126" s="242" t="s">
        <v>13</v>
      </c>
      <c r="J126" s="250" t="s">
        <v>12</v>
      </c>
      <c r="K126" s="256">
        <f t="shared" si="23"/>
        <v>3534.97</v>
      </c>
      <c r="L126" s="256">
        <f t="shared" si="23"/>
        <v>3534.97</v>
      </c>
      <c r="M126" s="264">
        <f t="shared" si="23"/>
        <v>3534.97</v>
      </c>
      <c r="N126" s="204"/>
    </row>
    <row r="127" spans="1:14" ht="29.25" customHeight="1" x14ac:dyDescent="0.25">
      <c r="A127" s="274"/>
      <c r="B127" s="287" t="s">
        <v>610</v>
      </c>
      <c r="C127" s="285">
        <v>616</v>
      </c>
      <c r="D127" s="216">
        <v>8</v>
      </c>
      <c r="E127" s="222">
        <v>1</v>
      </c>
      <c r="F127" s="230" t="s">
        <v>14</v>
      </c>
      <c r="G127" s="237" t="s">
        <v>31</v>
      </c>
      <c r="H127" s="230" t="s">
        <v>30</v>
      </c>
      <c r="I127" s="243" t="s">
        <v>364</v>
      </c>
      <c r="J127" s="251" t="s">
        <v>1</v>
      </c>
      <c r="K127" s="257">
        <f t="shared" ref="K127:M128" si="24">7300/1000</f>
        <v>7.3</v>
      </c>
      <c r="L127" s="257">
        <f t="shared" si="24"/>
        <v>7.3</v>
      </c>
      <c r="M127" s="265">
        <f t="shared" si="24"/>
        <v>7.3</v>
      </c>
      <c r="N127" s="204"/>
    </row>
    <row r="128" spans="1:14" ht="29.25" customHeight="1" x14ac:dyDescent="0.25">
      <c r="A128" s="274"/>
      <c r="B128" s="282" t="s">
        <v>15</v>
      </c>
      <c r="C128" s="283">
        <v>616</v>
      </c>
      <c r="D128" s="215">
        <v>8</v>
      </c>
      <c r="E128" s="221">
        <v>1</v>
      </c>
      <c r="F128" s="229" t="s">
        <v>14</v>
      </c>
      <c r="G128" s="236" t="s">
        <v>31</v>
      </c>
      <c r="H128" s="229" t="s">
        <v>30</v>
      </c>
      <c r="I128" s="242" t="s">
        <v>364</v>
      </c>
      <c r="J128" s="250" t="s">
        <v>12</v>
      </c>
      <c r="K128" s="256">
        <f t="shared" si="24"/>
        <v>7.3</v>
      </c>
      <c r="L128" s="256">
        <f t="shared" si="24"/>
        <v>7.3</v>
      </c>
      <c r="M128" s="264">
        <f t="shared" si="24"/>
        <v>7.3</v>
      </c>
      <c r="N128" s="204"/>
    </row>
    <row r="129" spans="1:14" ht="43.5" customHeight="1" x14ac:dyDescent="0.25">
      <c r="A129" s="274"/>
      <c r="B129" s="288" t="s">
        <v>11</v>
      </c>
      <c r="C129" s="289">
        <v>616</v>
      </c>
      <c r="D129" s="217">
        <v>10</v>
      </c>
      <c r="E129" s="223" t="s">
        <v>1</v>
      </c>
      <c r="F129" s="231" t="s">
        <v>1</v>
      </c>
      <c r="G129" s="238" t="s">
        <v>1</v>
      </c>
      <c r="H129" s="231" t="s">
        <v>1</v>
      </c>
      <c r="I129" s="244" t="s">
        <v>1</v>
      </c>
      <c r="J129" s="252" t="s">
        <v>1</v>
      </c>
      <c r="K129" s="258">
        <f t="shared" ref="K129:M134" si="25">447000/1000</f>
        <v>447</v>
      </c>
      <c r="L129" s="258">
        <f t="shared" si="25"/>
        <v>447</v>
      </c>
      <c r="M129" s="266">
        <f t="shared" si="25"/>
        <v>447</v>
      </c>
      <c r="N129" s="204"/>
    </row>
    <row r="130" spans="1:14" ht="23.25" customHeight="1" x14ac:dyDescent="0.25">
      <c r="A130" s="274"/>
      <c r="B130" s="279" t="s">
        <v>10</v>
      </c>
      <c r="C130" s="280">
        <v>616</v>
      </c>
      <c r="D130" s="214">
        <v>10</v>
      </c>
      <c r="E130" s="220">
        <v>1</v>
      </c>
      <c r="F130" s="228" t="s">
        <v>1</v>
      </c>
      <c r="G130" s="235" t="s">
        <v>1</v>
      </c>
      <c r="H130" s="228" t="s">
        <v>1</v>
      </c>
      <c r="I130" s="241" t="s">
        <v>1</v>
      </c>
      <c r="J130" s="249" t="s">
        <v>1</v>
      </c>
      <c r="K130" s="255">
        <f t="shared" si="25"/>
        <v>447</v>
      </c>
      <c r="L130" s="255">
        <f t="shared" si="25"/>
        <v>447</v>
      </c>
      <c r="M130" s="263">
        <f t="shared" si="25"/>
        <v>447</v>
      </c>
      <c r="N130" s="204"/>
    </row>
    <row r="131" spans="1:14" ht="90" customHeight="1" x14ac:dyDescent="0.25">
      <c r="A131" s="274"/>
      <c r="B131" s="281" t="s">
        <v>587</v>
      </c>
      <c r="C131" s="280">
        <v>616</v>
      </c>
      <c r="D131" s="214">
        <v>10</v>
      </c>
      <c r="E131" s="220">
        <v>1</v>
      </c>
      <c r="F131" s="228" t="s">
        <v>49</v>
      </c>
      <c r="G131" s="235" t="s">
        <v>5</v>
      </c>
      <c r="H131" s="228" t="s">
        <v>4</v>
      </c>
      <c r="I131" s="241" t="s">
        <v>3</v>
      </c>
      <c r="J131" s="249" t="s">
        <v>1</v>
      </c>
      <c r="K131" s="255">
        <f t="shared" si="25"/>
        <v>447</v>
      </c>
      <c r="L131" s="255">
        <f t="shared" si="25"/>
        <v>447</v>
      </c>
      <c r="M131" s="263">
        <f t="shared" si="25"/>
        <v>447</v>
      </c>
      <c r="N131" s="204"/>
    </row>
    <row r="132" spans="1:14" ht="29.25" customHeight="1" x14ac:dyDescent="0.25">
      <c r="A132" s="274"/>
      <c r="B132" s="281" t="s">
        <v>588</v>
      </c>
      <c r="C132" s="280">
        <v>616</v>
      </c>
      <c r="D132" s="214">
        <v>10</v>
      </c>
      <c r="E132" s="220">
        <v>1</v>
      </c>
      <c r="F132" s="228" t="s">
        <v>49</v>
      </c>
      <c r="G132" s="235" t="s">
        <v>31</v>
      </c>
      <c r="H132" s="228" t="s">
        <v>4</v>
      </c>
      <c r="I132" s="241" t="s">
        <v>3</v>
      </c>
      <c r="J132" s="249" t="s">
        <v>1</v>
      </c>
      <c r="K132" s="255">
        <f t="shared" si="25"/>
        <v>447</v>
      </c>
      <c r="L132" s="255">
        <f t="shared" si="25"/>
        <v>447</v>
      </c>
      <c r="M132" s="263">
        <f t="shared" si="25"/>
        <v>447</v>
      </c>
      <c r="N132" s="204"/>
    </row>
    <row r="133" spans="1:14" ht="29.25" customHeight="1" x14ac:dyDescent="0.25">
      <c r="A133" s="274"/>
      <c r="B133" s="281" t="s">
        <v>629</v>
      </c>
      <c r="C133" s="280">
        <v>616</v>
      </c>
      <c r="D133" s="214">
        <v>10</v>
      </c>
      <c r="E133" s="220">
        <v>1</v>
      </c>
      <c r="F133" s="228" t="s">
        <v>49</v>
      </c>
      <c r="G133" s="235" t="s">
        <v>31</v>
      </c>
      <c r="H133" s="228" t="s">
        <v>30</v>
      </c>
      <c r="I133" s="241" t="s">
        <v>3</v>
      </c>
      <c r="J133" s="249" t="s">
        <v>1</v>
      </c>
      <c r="K133" s="255">
        <f t="shared" si="25"/>
        <v>447</v>
      </c>
      <c r="L133" s="255">
        <f t="shared" si="25"/>
        <v>447</v>
      </c>
      <c r="M133" s="263">
        <f t="shared" si="25"/>
        <v>447</v>
      </c>
      <c r="N133" s="204"/>
    </row>
    <row r="134" spans="1:14" ht="23.25" customHeight="1" x14ac:dyDescent="0.25">
      <c r="A134" s="274"/>
      <c r="B134" s="281" t="s">
        <v>472</v>
      </c>
      <c r="C134" s="280">
        <v>616</v>
      </c>
      <c r="D134" s="214">
        <v>10</v>
      </c>
      <c r="E134" s="220">
        <v>1</v>
      </c>
      <c r="F134" s="228" t="s">
        <v>49</v>
      </c>
      <c r="G134" s="235" t="s">
        <v>31</v>
      </c>
      <c r="H134" s="228" t="s">
        <v>30</v>
      </c>
      <c r="I134" s="241" t="s">
        <v>630</v>
      </c>
      <c r="J134" s="249" t="s">
        <v>1</v>
      </c>
      <c r="K134" s="255">
        <f t="shared" si="25"/>
        <v>447</v>
      </c>
      <c r="L134" s="255">
        <f t="shared" si="25"/>
        <v>447</v>
      </c>
      <c r="M134" s="263">
        <f t="shared" si="25"/>
        <v>447</v>
      </c>
      <c r="N134" s="204"/>
    </row>
    <row r="135" spans="1:14" ht="43.5" customHeight="1" x14ac:dyDescent="0.25">
      <c r="A135" s="274"/>
      <c r="B135" s="282" t="s">
        <v>9</v>
      </c>
      <c r="C135" s="283">
        <v>616</v>
      </c>
      <c r="D135" s="215">
        <v>10</v>
      </c>
      <c r="E135" s="221">
        <v>1</v>
      </c>
      <c r="F135" s="229" t="s">
        <v>49</v>
      </c>
      <c r="G135" s="236" t="s">
        <v>31</v>
      </c>
      <c r="H135" s="229" t="s">
        <v>30</v>
      </c>
      <c r="I135" s="242" t="s">
        <v>630</v>
      </c>
      <c r="J135" s="250" t="s">
        <v>8</v>
      </c>
      <c r="K135" s="256">
        <f>447000/1000</f>
        <v>447</v>
      </c>
      <c r="L135" s="256">
        <f>447000/1000</f>
        <v>447</v>
      </c>
      <c r="M135" s="264">
        <f>447000/1000</f>
        <v>447</v>
      </c>
      <c r="N135" s="204"/>
    </row>
    <row r="136" spans="1:14" ht="23.25" customHeight="1" x14ac:dyDescent="0.25">
      <c r="A136" s="274"/>
      <c r="B136" s="288" t="s">
        <v>318</v>
      </c>
      <c r="C136" s="289">
        <v>616</v>
      </c>
      <c r="D136" s="217">
        <v>11</v>
      </c>
      <c r="E136" s="223" t="s">
        <v>1</v>
      </c>
      <c r="F136" s="231" t="s">
        <v>1</v>
      </c>
      <c r="G136" s="238" t="s">
        <v>1</v>
      </c>
      <c r="H136" s="231" t="s">
        <v>1</v>
      </c>
      <c r="I136" s="244" t="s">
        <v>1</v>
      </c>
      <c r="J136" s="252" t="s">
        <v>1</v>
      </c>
      <c r="K136" s="258">
        <f t="shared" ref="K136:M142" si="26">100000/1000</f>
        <v>100</v>
      </c>
      <c r="L136" s="258">
        <f t="shared" si="26"/>
        <v>100</v>
      </c>
      <c r="M136" s="266">
        <f t="shared" si="26"/>
        <v>100</v>
      </c>
      <c r="N136" s="204"/>
    </row>
    <row r="137" spans="1:14" ht="23.25" customHeight="1" x14ac:dyDescent="0.25">
      <c r="A137" s="274"/>
      <c r="B137" s="279" t="s">
        <v>631</v>
      </c>
      <c r="C137" s="280">
        <v>616</v>
      </c>
      <c r="D137" s="214">
        <v>11</v>
      </c>
      <c r="E137" s="220">
        <v>1</v>
      </c>
      <c r="F137" s="228" t="s">
        <v>1</v>
      </c>
      <c r="G137" s="235" t="s">
        <v>1</v>
      </c>
      <c r="H137" s="228" t="s">
        <v>1</v>
      </c>
      <c r="I137" s="241" t="s">
        <v>1</v>
      </c>
      <c r="J137" s="249" t="s">
        <v>1</v>
      </c>
      <c r="K137" s="255">
        <f t="shared" si="26"/>
        <v>100</v>
      </c>
      <c r="L137" s="255">
        <f t="shared" si="26"/>
        <v>100</v>
      </c>
      <c r="M137" s="263">
        <f t="shared" si="26"/>
        <v>100</v>
      </c>
      <c r="N137" s="204"/>
    </row>
    <row r="138" spans="1:14" ht="43.5" customHeight="1" x14ac:dyDescent="0.25">
      <c r="A138" s="274"/>
      <c r="B138" s="281" t="s">
        <v>614</v>
      </c>
      <c r="C138" s="280">
        <v>616</v>
      </c>
      <c r="D138" s="214">
        <v>11</v>
      </c>
      <c r="E138" s="220">
        <v>1</v>
      </c>
      <c r="F138" s="228" t="s">
        <v>7</v>
      </c>
      <c r="G138" s="235" t="s">
        <v>5</v>
      </c>
      <c r="H138" s="228" t="s">
        <v>4</v>
      </c>
      <c r="I138" s="241" t="s">
        <v>3</v>
      </c>
      <c r="J138" s="249" t="s">
        <v>1</v>
      </c>
      <c r="K138" s="255">
        <f t="shared" si="26"/>
        <v>100</v>
      </c>
      <c r="L138" s="255">
        <f t="shared" si="26"/>
        <v>100</v>
      </c>
      <c r="M138" s="263">
        <f t="shared" si="26"/>
        <v>100</v>
      </c>
      <c r="N138" s="204"/>
    </row>
    <row r="139" spans="1:14" ht="23.25" customHeight="1" x14ac:dyDescent="0.25">
      <c r="A139" s="274"/>
      <c r="B139" s="281" t="s">
        <v>588</v>
      </c>
      <c r="C139" s="280">
        <v>616</v>
      </c>
      <c r="D139" s="214">
        <v>11</v>
      </c>
      <c r="E139" s="220">
        <v>1</v>
      </c>
      <c r="F139" s="228" t="s">
        <v>7</v>
      </c>
      <c r="G139" s="235" t="s">
        <v>31</v>
      </c>
      <c r="H139" s="228" t="s">
        <v>4</v>
      </c>
      <c r="I139" s="241" t="s">
        <v>3</v>
      </c>
      <c r="J139" s="249" t="s">
        <v>1</v>
      </c>
      <c r="K139" s="255">
        <f t="shared" si="26"/>
        <v>100</v>
      </c>
      <c r="L139" s="255">
        <f t="shared" si="26"/>
        <v>100</v>
      </c>
      <c r="M139" s="263">
        <f t="shared" si="26"/>
        <v>100</v>
      </c>
      <c r="N139" s="204"/>
    </row>
    <row r="140" spans="1:14" ht="23.25" customHeight="1" x14ac:dyDescent="0.25">
      <c r="A140" s="274"/>
      <c r="B140" s="281" t="s">
        <v>632</v>
      </c>
      <c r="C140" s="280">
        <v>616</v>
      </c>
      <c r="D140" s="214">
        <v>11</v>
      </c>
      <c r="E140" s="220">
        <v>1</v>
      </c>
      <c r="F140" s="228" t="s">
        <v>7</v>
      </c>
      <c r="G140" s="235" t="s">
        <v>31</v>
      </c>
      <c r="H140" s="228" t="s">
        <v>633</v>
      </c>
      <c r="I140" s="241" t="s">
        <v>3</v>
      </c>
      <c r="J140" s="249" t="s">
        <v>1</v>
      </c>
      <c r="K140" s="255">
        <f t="shared" si="26"/>
        <v>100</v>
      </c>
      <c r="L140" s="255">
        <f t="shared" si="26"/>
        <v>100</v>
      </c>
      <c r="M140" s="263">
        <f t="shared" si="26"/>
        <v>100</v>
      </c>
      <c r="N140" s="204"/>
    </row>
    <row r="141" spans="1:14" ht="29.25" customHeight="1" x14ac:dyDescent="0.25">
      <c r="A141" s="274"/>
      <c r="B141" s="281" t="s">
        <v>634</v>
      </c>
      <c r="C141" s="280">
        <v>616</v>
      </c>
      <c r="D141" s="214">
        <v>11</v>
      </c>
      <c r="E141" s="220">
        <v>1</v>
      </c>
      <c r="F141" s="228" t="s">
        <v>7</v>
      </c>
      <c r="G141" s="235" t="s">
        <v>31</v>
      </c>
      <c r="H141" s="228" t="s">
        <v>633</v>
      </c>
      <c r="I141" s="241" t="s">
        <v>635</v>
      </c>
      <c r="J141" s="249" t="s">
        <v>1</v>
      </c>
      <c r="K141" s="255">
        <f t="shared" si="26"/>
        <v>100</v>
      </c>
      <c r="L141" s="255">
        <f t="shared" si="26"/>
        <v>100</v>
      </c>
      <c r="M141" s="263">
        <f t="shared" si="26"/>
        <v>100</v>
      </c>
      <c r="N141" s="204"/>
    </row>
    <row r="142" spans="1:14" ht="23.25" customHeight="1" x14ac:dyDescent="0.25">
      <c r="A142" s="274"/>
      <c r="B142" s="282" t="s">
        <v>22</v>
      </c>
      <c r="C142" s="283">
        <v>616</v>
      </c>
      <c r="D142" s="215">
        <v>11</v>
      </c>
      <c r="E142" s="221">
        <v>1</v>
      </c>
      <c r="F142" s="229" t="s">
        <v>7</v>
      </c>
      <c r="G142" s="236" t="s">
        <v>31</v>
      </c>
      <c r="H142" s="229" t="s">
        <v>633</v>
      </c>
      <c r="I142" s="242" t="s">
        <v>635</v>
      </c>
      <c r="J142" s="250" t="s">
        <v>19</v>
      </c>
      <c r="K142" s="256">
        <f t="shared" si="26"/>
        <v>100</v>
      </c>
      <c r="L142" s="256">
        <f t="shared" si="26"/>
        <v>100</v>
      </c>
      <c r="M142" s="264">
        <f t="shared" si="26"/>
        <v>100</v>
      </c>
      <c r="N142" s="204"/>
    </row>
    <row r="143" spans="1:14" ht="29.25" customHeight="1" thickBot="1" x14ac:dyDescent="0.3">
      <c r="A143" s="274"/>
      <c r="B143" s="288" t="s">
        <v>2</v>
      </c>
      <c r="C143" s="289">
        <v>616</v>
      </c>
      <c r="D143" s="217"/>
      <c r="E143" s="223" t="s">
        <v>1</v>
      </c>
      <c r="F143" s="231" t="s">
        <v>1</v>
      </c>
      <c r="G143" s="238" t="s">
        <v>1</v>
      </c>
      <c r="H143" s="231" t="s">
        <v>1</v>
      </c>
      <c r="I143" s="244" t="s">
        <v>1</v>
      </c>
      <c r="J143" s="252" t="s">
        <v>1</v>
      </c>
      <c r="K143" s="258">
        <v>0</v>
      </c>
      <c r="L143" s="258">
        <f>575430/1000</f>
        <v>575.42999999999995</v>
      </c>
      <c r="M143" s="266">
        <f>571570/1000</f>
        <v>571.57000000000005</v>
      </c>
      <c r="N143" s="204"/>
    </row>
    <row r="144" spans="1:14" ht="23.25" customHeight="1" thickBot="1" x14ac:dyDescent="0.3">
      <c r="A144" s="210"/>
      <c r="B144" s="290" t="s">
        <v>0</v>
      </c>
      <c r="C144" s="291"/>
      <c r="D144" s="291"/>
      <c r="E144" s="291"/>
      <c r="F144" s="291"/>
      <c r="G144" s="291"/>
      <c r="H144" s="291"/>
      <c r="I144" s="291"/>
      <c r="J144" s="291"/>
      <c r="K144" s="292">
        <f>24670427.38/1000</f>
        <v>24670.427379999997</v>
      </c>
      <c r="L144" s="292">
        <f>23017360/1000</f>
        <v>23017.360000000001</v>
      </c>
      <c r="M144" s="292">
        <f>22862620/1000</f>
        <v>22862.62</v>
      </c>
      <c r="N144" s="203"/>
    </row>
    <row r="145" spans="1:14" ht="23.25" customHeight="1" x14ac:dyDescent="0.25">
      <c r="A145" s="210"/>
      <c r="B145" s="210"/>
      <c r="C145" s="210"/>
      <c r="D145" s="210"/>
      <c r="E145" s="204"/>
      <c r="F145" s="204"/>
      <c r="G145" s="204"/>
      <c r="H145" s="204"/>
      <c r="I145" s="204"/>
      <c r="J145" s="204"/>
      <c r="K145" s="203"/>
      <c r="L145" s="210"/>
      <c r="M145" s="204"/>
      <c r="N145" s="203"/>
    </row>
    <row r="146" spans="1:14" ht="23.25" customHeight="1" x14ac:dyDescent="0.25"/>
    <row r="147" spans="1:14" ht="29.25" customHeight="1" x14ac:dyDescent="0.25"/>
    <row r="148" spans="1:14" ht="23.25" customHeight="1" x14ac:dyDescent="0.25"/>
    <row r="149" spans="1:14" ht="23.25" customHeight="1" x14ac:dyDescent="0.25"/>
    <row r="150" spans="1:14" ht="23.25" customHeight="1" x14ac:dyDescent="0.25"/>
    <row r="151" spans="1:14" ht="42.75" customHeight="1" x14ac:dyDescent="0.25"/>
    <row r="152" spans="1:14" ht="23.25" customHeight="1" x14ac:dyDescent="0.25"/>
    <row r="153" spans="1:14" ht="23.25" customHeight="1" x14ac:dyDescent="0.25"/>
    <row r="154" spans="1:14" ht="79.5" customHeight="1" x14ac:dyDescent="0.25"/>
    <row r="155" spans="1:14" ht="21" customHeight="1" x14ac:dyDescent="0.25"/>
    <row r="156" spans="1:14" ht="29.25" customHeight="1" x14ac:dyDescent="0.25"/>
    <row r="157" spans="1:14" ht="29.25" customHeight="1" x14ac:dyDescent="0.25"/>
    <row r="158" spans="1:14" ht="29.25" customHeight="1" x14ac:dyDescent="0.25"/>
    <row r="159" spans="1:14" ht="23.25" customHeight="1" x14ac:dyDescent="0.25"/>
    <row r="160" spans="1:14" ht="77.25" customHeight="1" x14ac:dyDescent="0.25"/>
    <row r="161" ht="29.25" customHeight="1" x14ac:dyDescent="0.25"/>
    <row r="162" ht="75" customHeight="1" x14ac:dyDescent="0.25"/>
    <row r="163" ht="15.75" customHeight="1" x14ac:dyDescent="0.25"/>
    <row r="164" ht="15.75" customHeight="1" x14ac:dyDescent="0.25"/>
    <row r="166" ht="84" customHeight="1" x14ac:dyDescent="0.25"/>
    <row r="167" ht="30" customHeight="1" x14ac:dyDescent="0.25"/>
    <row r="172" ht="66" customHeight="1" x14ac:dyDescent="0.25"/>
    <row r="173" ht="49.5" customHeight="1" x14ac:dyDescent="0.25"/>
    <row r="176" ht="75.75" customHeight="1" x14ac:dyDescent="0.25"/>
    <row r="178" ht="18.75" customHeight="1" x14ac:dyDescent="0.25"/>
    <row r="179" ht="21.75" customHeight="1" x14ac:dyDescent="0.25"/>
    <row r="180" ht="12.75" customHeight="1" x14ac:dyDescent="0.25"/>
  </sheetData>
  <mergeCells count="2">
    <mergeCell ref="F12:I12"/>
    <mergeCell ref="B9:M9"/>
  </mergeCells>
  <pageMargins left="0.196850393700787" right="0.196850393700787" top="0.39370078740157499" bottom="0.196850393700787" header="0.196850393700787" footer="0.196850393700787"/>
  <pageSetup paperSize="9" scale="71" fitToHeight="0" orientation="portrait" r:id="rId1"/>
  <headerFooter alignWithMargins="0">
    <oddHeader>&amp;CСтраница &amp;P из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7" zoomScaleNormal="100" workbookViewId="0">
      <selection activeCell="D10" sqref="D10"/>
    </sheetView>
  </sheetViews>
  <sheetFormatPr defaultColWidth="9.28515625" defaultRowHeight="15" x14ac:dyDescent="0.25"/>
  <cols>
    <col min="1" max="1" width="0.5703125" customWidth="1"/>
    <col min="2" max="2" width="50" customWidth="1"/>
    <col min="3" max="3" width="5.42578125" customWidth="1"/>
    <col min="4" max="4" width="5.28515625" customWidth="1"/>
    <col min="5" max="7" width="17.28515625" customWidth="1"/>
    <col min="8" max="236" width="9.140625" customWidth="1"/>
  </cols>
  <sheetData>
    <row r="1" spans="1:7" x14ac:dyDescent="0.25">
      <c r="A1" s="316"/>
      <c r="B1" s="317"/>
      <c r="C1" s="317"/>
      <c r="D1" s="317"/>
      <c r="E1" s="317"/>
      <c r="F1" s="318"/>
      <c r="G1" s="203"/>
    </row>
    <row r="2" spans="1:7" x14ac:dyDescent="0.25">
      <c r="A2" s="316"/>
      <c r="B2" s="317"/>
      <c r="C2" s="317"/>
      <c r="D2" s="317"/>
      <c r="E2" s="203"/>
      <c r="F2" s="390" t="s">
        <v>513</v>
      </c>
      <c r="G2" s="203"/>
    </row>
    <row r="3" spans="1:7" x14ac:dyDescent="0.25">
      <c r="A3" s="316"/>
      <c r="B3" s="317"/>
      <c r="C3" s="317"/>
      <c r="D3" s="317"/>
      <c r="E3" s="203"/>
      <c r="F3" s="390" t="s">
        <v>75</v>
      </c>
      <c r="G3" s="203"/>
    </row>
    <row r="4" spans="1:7" x14ac:dyDescent="0.25">
      <c r="A4" s="316"/>
      <c r="B4" s="449" t="s">
        <v>566</v>
      </c>
      <c r="C4" s="450"/>
      <c r="D4" s="450"/>
      <c r="E4" s="450"/>
      <c r="F4" s="390" t="s">
        <v>74</v>
      </c>
      <c r="G4" s="204"/>
    </row>
    <row r="5" spans="1:7" x14ac:dyDescent="0.25">
      <c r="A5" s="316"/>
      <c r="B5" s="317"/>
      <c r="C5" s="384"/>
      <c r="D5" s="203"/>
      <c r="E5" s="203"/>
      <c r="F5" s="390" t="s">
        <v>585</v>
      </c>
      <c r="G5" s="205"/>
    </row>
    <row r="6" spans="1:7" x14ac:dyDescent="0.25">
      <c r="A6" s="316"/>
      <c r="B6" s="317"/>
      <c r="C6" s="317"/>
      <c r="D6" s="317"/>
      <c r="E6" s="203"/>
      <c r="F6" s="390" t="s">
        <v>637</v>
      </c>
      <c r="G6" s="203"/>
    </row>
    <row r="7" spans="1:7" x14ac:dyDescent="0.25">
      <c r="A7" s="321"/>
      <c r="B7" s="206"/>
      <c r="C7" s="206"/>
      <c r="D7" s="206"/>
      <c r="E7" s="206"/>
      <c r="F7" s="206"/>
      <c r="G7" s="206"/>
    </row>
    <row r="8" spans="1:7" ht="51.75" customHeight="1" x14ac:dyDescent="0.25">
      <c r="A8" s="478" t="s">
        <v>641</v>
      </c>
      <c r="B8" s="477"/>
      <c r="C8" s="477"/>
      <c r="D8" s="477"/>
      <c r="E8" s="477"/>
      <c r="F8" s="477"/>
      <c r="G8" s="477"/>
    </row>
    <row r="9" spans="1:7" ht="15.75" x14ac:dyDescent="0.25">
      <c r="A9" s="323"/>
      <c r="B9" s="324"/>
      <c r="C9" s="324"/>
      <c r="D9" s="206"/>
      <c r="E9" s="206"/>
      <c r="F9" s="206"/>
      <c r="G9" s="206"/>
    </row>
    <row r="10" spans="1:7" ht="15.75" thickBot="1" x14ac:dyDescent="0.3">
      <c r="A10" s="321"/>
      <c r="B10" s="325"/>
      <c r="C10" s="325"/>
      <c r="D10" s="325"/>
      <c r="E10" s="325"/>
      <c r="F10" s="326"/>
      <c r="G10" s="391" t="s">
        <v>73</v>
      </c>
    </row>
    <row r="11" spans="1:7" x14ac:dyDescent="0.25">
      <c r="A11" s="328"/>
      <c r="B11" s="329" t="s">
        <v>72</v>
      </c>
      <c r="C11" s="331" t="s">
        <v>70</v>
      </c>
      <c r="D11" s="331" t="s">
        <v>69</v>
      </c>
      <c r="E11" s="331" t="s">
        <v>382</v>
      </c>
      <c r="F11" s="329" t="s">
        <v>384</v>
      </c>
      <c r="G11" s="392" t="s">
        <v>569</v>
      </c>
    </row>
    <row r="12" spans="1:7" ht="15.75" x14ac:dyDescent="0.25">
      <c r="A12" s="333"/>
      <c r="B12" s="393" t="s">
        <v>65</v>
      </c>
      <c r="C12" s="338">
        <v>1</v>
      </c>
      <c r="D12" s="394" t="s">
        <v>1</v>
      </c>
      <c r="E12" s="404">
        <f>13579287.38/1000</f>
        <v>13579.287380000002</v>
      </c>
      <c r="F12" s="340">
        <f>12650532.95/1000</f>
        <v>12650.532949999999</v>
      </c>
      <c r="G12" s="341">
        <f>11973432.92/1000</f>
        <v>11973.432919999999</v>
      </c>
    </row>
    <row r="13" spans="1:7" ht="49.5" customHeight="1" x14ac:dyDescent="0.25">
      <c r="A13" s="333"/>
      <c r="B13" s="395" t="s">
        <v>64</v>
      </c>
      <c r="C13" s="346">
        <v>1</v>
      </c>
      <c r="D13" s="396">
        <v>2</v>
      </c>
      <c r="E13" s="348">
        <f>1320729.48/1000</f>
        <v>1320.72948</v>
      </c>
      <c r="F13" s="348">
        <f>1320729.48/1000</f>
        <v>1320.72948</v>
      </c>
      <c r="G13" s="349">
        <f>1320679.45/1000</f>
        <v>1320.6794499999999</v>
      </c>
    </row>
    <row r="14" spans="1:7" ht="68.25" customHeight="1" x14ac:dyDescent="0.25">
      <c r="A14" s="333"/>
      <c r="B14" s="395" t="s">
        <v>62</v>
      </c>
      <c r="C14" s="346">
        <v>1</v>
      </c>
      <c r="D14" s="396">
        <v>4</v>
      </c>
      <c r="E14" s="348">
        <f>3956563.47/1000</f>
        <v>3956.5634700000001</v>
      </c>
      <c r="F14" s="348">
        <f>3926563.47/1000</f>
        <v>3926.5634700000001</v>
      </c>
      <c r="G14" s="349">
        <f>3757663.47/1000</f>
        <v>3757.6634700000004</v>
      </c>
    </row>
    <row r="15" spans="1:7" ht="54" customHeight="1" x14ac:dyDescent="0.25">
      <c r="A15" s="333"/>
      <c r="B15" s="395" t="s">
        <v>328</v>
      </c>
      <c r="C15" s="346">
        <v>1</v>
      </c>
      <c r="D15" s="396">
        <v>6</v>
      </c>
      <c r="E15" s="348">
        <f>55400/1000</f>
        <v>55.4</v>
      </c>
      <c r="F15" s="348">
        <v>0</v>
      </c>
      <c r="G15" s="349">
        <v>0</v>
      </c>
    </row>
    <row r="16" spans="1:7" ht="15.75" customHeight="1" x14ac:dyDescent="0.25">
      <c r="A16" s="333"/>
      <c r="B16" s="397" t="s">
        <v>60</v>
      </c>
      <c r="C16" s="355">
        <v>1</v>
      </c>
      <c r="D16" s="398">
        <v>13</v>
      </c>
      <c r="E16" s="357">
        <f>8246594.43/1000</f>
        <v>8246.5944299999992</v>
      </c>
      <c r="F16" s="357">
        <f>7403240/1000</f>
        <v>7403.24</v>
      </c>
      <c r="G16" s="358">
        <f>6895090/1000</f>
        <v>6895.09</v>
      </c>
    </row>
    <row r="17" spans="1:7" ht="15.75" x14ac:dyDescent="0.25">
      <c r="A17" s="333"/>
      <c r="B17" s="399" t="s">
        <v>53</v>
      </c>
      <c r="C17" s="363">
        <v>2</v>
      </c>
      <c r="D17" s="400" t="s">
        <v>1</v>
      </c>
      <c r="E17" s="365">
        <f>321300/1000</f>
        <v>321.3</v>
      </c>
      <c r="F17" s="365">
        <f>336200/1000</f>
        <v>336.2</v>
      </c>
      <c r="G17" s="366">
        <f>348400/1000</f>
        <v>348.4</v>
      </c>
    </row>
    <row r="18" spans="1:7" ht="15.75" x14ac:dyDescent="0.25">
      <c r="A18" s="333"/>
      <c r="B18" s="397" t="s">
        <v>52</v>
      </c>
      <c r="C18" s="355">
        <v>2</v>
      </c>
      <c r="D18" s="398">
        <v>3</v>
      </c>
      <c r="E18" s="357">
        <f>321300/1000</f>
        <v>321.3</v>
      </c>
      <c r="F18" s="357">
        <f>336200/1000</f>
        <v>336.2</v>
      </c>
      <c r="G18" s="358">
        <f>348400/1000</f>
        <v>348.4</v>
      </c>
    </row>
    <row r="19" spans="1:7" ht="36.75" customHeight="1" x14ac:dyDescent="0.25">
      <c r="A19" s="333"/>
      <c r="B19" s="399" t="s">
        <v>46</v>
      </c>
      <c r="C19" s="363">
        <v>3</v>
      </c>
      <c r="D19" s="400" t="s">
        <v>1</v>
      </c>
      <c r="E19" s="365">
        <f>398300/1000</f>
        <v>398.3</v>
      </c>
      <c r="F19" s="365">
        <f>399300/1000</f>
        <v>399.3</v>
      </c>
      <c r="G19" s="366">
        <f>399300/1000</f>
        <v>399.3</v>
      </c>
    </row>
    <row r="20" spans="1:7" ht="15.75" x14ac:dyDescent="0.25">
      <c r="A20" s="333"/>
      <c r="B20" s="395" t="s">
        <v>45</v>
      </c>
      <c r="C20" s="346">
        <v>3</v>
      </c>
      <c r="D20" s="396">
        <v>4</v>
      </c>
      <c r="E20" s="348">
        <f>25900/1000</f>
        <v>25.9</v>
      </c>
      <c r="F20" s="348">
        <f>26900/1000</f>
        <v>26.9</v>
      </c>
      <c r="G20" s="349">
        <f>26900/1000</f>
        <v>26.9</v>
      </c>
    </row>
    <row r="21" spans="1:7" ht="47.25" x14ac:dyDescent="0.25">
      <c r="A21" s="333"/>
      <c r="B21" s="397" t="s">
        <v>383</v>
      </c>
      <c r="C21" s="355">
        <v>3</v>
      </c>
      <c r="D21" s="398">
        <v>10</v>
      </c>
      <c r="E21" s="357">
        <f>372400/1000</f>
        <v>372.4</v>
      </c>
      <c r="F21" s="357">
        <f>372400/1000</f>
        <v>372.4</v>
      </c>
      <c r="G21" s="358">
        <f>372400/1000</f>
        <v>372.4</v>
      </c>
    </row>
    <row r="22" spans="1:7" ht="15.75" x14ac:dyDescent="0.25">
      <c r="A22" s="333"/>
      <c r="B22" s="399" t="s">
        <v>41</v>
      </c>
      <c r="C22" s="363">
        <v>4</v>
      </c>
      <c r="D22" s="400" t="s">
        <v>1</v>
      </c>
      <c r="E22" s="365">
        <f>2744520/1000</f>
        <v>2744.52</v>
      </c>
      <c r="F22" s="365">
        <f>2672260/1000</f>
        <v>2672.26</v>
      </c>
      <c r="G22" s="366">
        <f>2994330/1000</f>
        <v>2994.33</v>
      </c>
    </row>
    <row r="23" spans="1:7" ht="15.75" x14ac:dyDescent="0.25">
      <c r="A23" s="333"/>
      <c r="B23" s="395" t="s">
        <v>40</v>
      </c>
      <c r="C23" s="346">
        <v>4</v>
      </c>
      <c r="D23" s="396">
        <v>9</v>
      </c>
      <c r="E23" s="348">
        <f>2484520/1000</f>
        <v>2484.52</v>
      </c>
      <c r="F23" s="348">
        <f>2612260/1000</f>
        <v>2612.2600000000002</v>
      </c>
      <c r="G23" s="349">
        <f>2734330/1000</f>
        <v>2734.33</v>
      </c>
    </row>
    <row r="24" spans="1:7" ht="31.5" x14ac:dyDescent="0.25">
      <c r="A24" s="333"/>
      <c r="B24" s="397" t="s">
        <v>35</v>
      </c>
      <c r="C24" s="355">
        <v>4</v>
      </c>
      <c r="D24" s="398">
        <v>12</v>
      </c>
      <c r="E24" s="357">
        <f>260000/1000</f>
        <v>260</v>
      </c>
      <c r="F24" s="357">
        <f>60000/1000</f>
        <v>60</v>
      </c>
      <c r="G24" s="358">
        <f>260000/1000</f>
        <v>260</v>
      </c>
    </row>
    <row r="25" spans="1:7" ht="31.5" x14ac:dyDescent="0.25">
      <c r="A25" s="333"/>
      <c r="B25" s="399" t="s">
        <v>34</v>
      </c>
      <c r="C25" s="363">
        <v>5</v>
      </c>
      <c r="D25" s="400" t="s">
        <v>1</v>
      </c>
      <c r="E25" s="365">
        <f>3178750/1000</f>
        <v>3178.75</v>
      </c>
      <c r="F25" s="365">
        <f>2294367.05/1000</f>
        <v>2294.3670499999998</v>
      </c>
      <c r="G25" s="366">
        <f>2486317.08/1000</f>
        <v>2486.3170800000003</v>
      </c>
    </row>
    <row r="26" spans="1:7" ht="15.75" x14ac:dyDescent="0.25">
      <c r="A26" s="333"/>
      <c r="B26" s="395" t="s">
        <v>33</v>
      </c>
      <c r="C26" s="346">
        <v>5</v>
      </c>
      <c r="D26" s="396">
        <v>1</v>
      </c>
      <c r="E26" s="348">
        <f>4800/1000</f>
        <v>4.8</v>
      </c>
      <c r="F26" s="348">
        <f>4800/1000</f>
        <v>4.8</v>
      </c>
      <c r="G26" s="349">
        <f>4800/1000</f>
        <v>4.8</v>
      </c>
    </row>
    <row r="27" spans="1:7" ht="15.75" x14ac:dyDescent="0.25">
      <c r="A27" s="333"/>
      <c r="B27" s="395" t="s">
        <v>28</v>
      </c>
      <c r="C27" s="346">
        <v>5</v>
      </c>
      <c r="D27" s="396">
        <v>2</v>
      </c>
      <c r="E27" s="348">
        <f>1022500/1000</f>
        <v>1022.5</v>
      </c>
      <c r="F27" s="348">
        <f>1022500/1000</f>
        <v>1022.5</v>
      </c>
      <c r="G27" s="349">
        <f>1022500/1000</f>
        <v>1022.5</v>
      </c>
    </row>
    <row r="28" spans="1:7" ht="15.75" x14ac:dyDescent="0.25">
      <c r="A28" s="333"/>
      <c r="B28" s="397" t="s">
        <v>25</v>
      </c>
      <c r="C28" s="355">
        <v>5</v>
      </c>
      <c r="D28" s="398">
        <v>3</v>
      </c>
      <c r="E28" s="357">
        <f>2151450/1000</f>
        <v>2151.4499999999998</v>
      </c>
      <c r="F28" s="357">
        <f>1267067.05/1000</f>
        <v>1267.0670500000001</v>
      </c>
      <c r="G28" s="358">
        <f>1459017.08/1000</f>
        <v>1459.0170800000001</v>
      </c>
    </row>
    <row r="29" spans="1:7" ht="15.75" x14ac:dyDescent="0.25">
      <c r="A29" s="333"/>
      <c r="B29" s="399" t="s">
        <v>18</v>
      </c>
      <c r="C29" s="363">
        <v>8</v>
      </c>
      <c r="D29" s="400" t="s">
        <v>1</v>
      </c>
      <c r="E29" s="365">
        <f>3901270/1000</f>
        <v>3901.27</v>
      </c>
      <c r="F29" s="365">
        <f>3542270/1000</f>
        <v>3542.27</v>
      </c>
      <c r="G29" s="366">
        <f>3542270/1000</f>
        <v>3542.27</v>
      </c>
    </row>
    <row r="30" spans="1:7" ht="15.75" x14ac:dyDescent="0.25">
      <c r="A30" s="333"/>
      <c r="B30" s="397" t="s">
        <v>17</v>
      </c>
      <c r="C30" s="355">
        <v>8</v>
      </c>
      <c r="D30" s="398">
        <v>1</v>
      </c>
      <c r="E30" s="357">
        <f>3901270/1000</f>
        <v>3901.27</v>
      </c>
      <c r="F30" s="357">
        <f>3542270/1000</f>
        <v>3542.27</v>
      </c>
      <c r="G30" s="358">
        <f>3542270/1000</f>
        <v>3542.27</v>
      </c>
    </row>
    <row r="31" spans="1:7" ht="15.75" x14ac:dyDescent="0.25">
      <c r="A31" s="333"/>
      <c r="B31" s="399" t="s">
        <v>11</v>
      </c>
      <c r="C31" s="363">
        <v>10</v>
      </c>
      <c r="D31" s="400" t="s">
        <v>1</v>
      </c>
      <c r="E31" s="365">
        <f t="shared" ref="E31:G32" si="0">447000/1000</f>
        <v>447</v>
      </c>
      <c r="F31" s="365">
        <f t="shared" si="0"/>
        <v>447</v>
      </c>
      <c r="G31" s="366">
        <f t="shared" si="0"/>
        <v>447</v>
      </c>
    </row>
    <row r="32" spans="1:7" ht="15.75" x14ac:dyDescent="0.25">
      <c r="A32" s="333"/>
      <c r="B32" s="397" t="s">
        <v>10</v>
      </c>
      <c r="C32" s="355">
        <v>10</v>
      </c>
      <c r="D32" s="398">
        <v>1</v>
      </c>
      <c r="E32" s="357">
        <f t="shared" si="0"/>
        <v>447</v>
      </c>
      <c r="F32" s="357">
        <f t="shared" si="0"/>
        <v>447</v>
      </c>
      <c r="G32" s="358">
        <f t="shared" si="0"/>
        <v>447</v>
      </c>
    </row>
    <row r="33" spans="1:7" ht="15.75" x14ac:dyDescent="0.25">
      <c r="A33" s="333"/>
      <c r="B33" s="399" t="s">
        <v>318</v>
      </c>
      <c r="C33" s="363">
        <v>11</v>
      </c>
      <c r="D33" s="400" t="s">
        <v>1</v>
      </c>
      <c r="E33" s="365">
        <f t="shared" ref="E33:G34" si="1">100000/1000</f>
        <v>100</v>
      </c>
      <c r="F33" s="365">
        <f t="shared" si="1"/>
        <v>100</v>
      </c>
      <c r="G33" s="366">
        <f t="shared" si="1"/>
        <v>100</v>
      </c>
    </row>
    <row r="34" spans="1:7" ht="15.75" x14ac:dyDescent="0.25">
      <c r="A34" s="333"/>
      <c r="B34" s="397" t="s">
        <v>631</v>
      </c>
      <c r="C34" s="355">
        <v>11</v>
      </c>
      <c r="D34" s="398">
        <v>1</v>
      </c>
      <c r="E34" s="357">
        <f t="shared" si="1"/>
        <v>100</v>
      </c>
      <c r="F34" s="357">
        <f t="shared" si="1"/>
        <v>100</v>
      </c>
      <c r="G34" s="358">
        <f t="shared" si="1"/>
        <v>100</v>
      </c>
    </row>
    <row r="35" spans="1:7" ht="16.5" thickBot="1" x14ac:dyDescent="0.3">
      <c r="A35" s="333"/>
      <c r="B35" s="399" t="s">
        <v>2</v>
      </c>
      <c r="C35" s="363">
        <v>99</v>
      </c>
      <c r="D35" s="400" t="s">
        <v>1</v>
      </c>
      <c r="E35" s="365">
        <v>0</v>
      </c>
      <c r="F35" s="365">
        <f>575430/1000</f>
        <v>575.42999999999995</v>
      </c>
      <c r="G35" s="366">
        <f>571570/1000</f>
        <v>571.57000000000005</v>
      </c>
    </row>
    <row r="36" spans="1:7" ht="15.75" thickBot="1" x14ac:dyDescent="0.3">
      <c r="A36" s="384"/>
      <c r="B36" s="401" t="s">
        <v>0</v>
      </c>
      <c r="C36" s="402"/>
      <c r="D36" s="402"/>
      <c r="E36" s="403">
        <f>24670427.38/1000</f>
        <v>24670.427379999997</v>
      </c>
      <c r="F36" s="403">
        <f>23017360/1000</f>
        <v>23017.360000000001</v>
      </c>
      <c r="G36" s="403">
        <f>22862620/1000</f>
        <v>22862.62</v>
      </c>
    </row>
    <row r="37" spans="1:7" x14ac:dyDescent="0.25">
      <c r="A37" s="384"/>
      <c r="B37" s="384"/>
      <c r="C37" s="384"/>
      <c r="D37" s="204"/>
      <c r="E37" s="203"/>
      <c r="F37" s="384"/>
      <c r="G37" s="204"/>
    </row>
  </sheetData>
  <mergeCells count="2">
    <mergeCell ref="B4:E4"/>
    <mergeCell ref="A8:G8"/>
  </mergeCells>
  <pageMargins left="0.7" right="0.7" top="0.75" bottom="0.75" header="0.3" footer="0.3"/>
  <pageSetup paperSize="9" scale="7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showGridLines="0" zoomScale="90" zoomScaleNormal="90" workbookViewId="0">
      <selection activeCell="D10" sqref="D10"/>
    </sheetView>
  </sheetViews>
  <sheetFormatPr defaultColWidth="9.28515625" defaultRowHeight="15" x14ac:dyDescent="0.25"/>
  <cols>
    <col min="1" max="1" width="0.5703125" customWidth="1"/>
    <col min="2" max="2" width="68" customWidth="1"/>
    <col min="3" max="3" width="5.42578125" customWidth="1"/>
    <col min="4" max="4" width="5.28515625" customWidth="1"/>
    <col min="5" max="5" width="3.28515625" customWidth="1"/>
    <col min="6" max="6" width="2.140625" customWidth="1"/>
    <col min="7" max="7" width="3.28515625" customWidth="1"/>
    <col min="8" max="8" width="6.7109375" customWidth="1"/>
    <col min="9" max="9" width="7.7109375" customWidth="1"/>
    <col min="10" max="10" width="16" customWidth="1"/>
    <col min="11" max="11" width="16.28515625" customWidth="1"/>
    <col min="12" max="12" width="17.140625" customWidth="1"/>
    <col min="13" max="13" width="1.140625" customWidth="1"/>
    <col min="14" max="242" width="9.140625" customWidth="1"/>
  </cols>
  <sheetData>
    <row r="1" spans="1:13" ht="12.75" customHeight="1" x14ac:dyDescent="0.25">
      <c r="A1" s="268"/>
      <c r="B1" s="207"/>
      <c r="C1" s="207"/>
      <c r="D1" s="207"/>
      <c r="E1" s="207"/>
      <c r="F1" s="207"/>
      <c r="G1" s="207"/>
      <c r="H1" s="207"/>
      <c r="I1" s="207"/>
      <c r="J1" s="207"/>
      <c r="K1" s="259"/>
      <c r="L1" s="203"/>
      <c r="M1" s="203"/>
    </row>
    <row r="2" spans="1:13" ht="12.75" customHeight="1" x14ac:dyDescent="0.25">
      <c r="A2" s="268"/>
      <c r="B2" s="207"/>
      <c r="C2" s="207"/>
      <c r="D2" s="207"/>
      <c r="E2" s="207"/>
      <c r="F2" s="207"/>
      <c r="G2" s="207"/>
      <c r="H2" s="207"/>
      <c r="I2" s="245" t="s">
        <v>515</v>
      </c>
      <c r="J2" s="203"/>
      <c r="K2" s="259"/>
      <c r="L2" s="203"/>
      <c r="M2" s="203"/>
    </row>
    <row r="3" spans="1:13" ht="12.75" customHeight="1" x14ac:dyDescent="0.25">
      <c r="A3" s="268"/>
      <c r="B3" s="207"/>
      <c r="C3" s="207"/>
      <c r="D3" s="207"/>
      <c r="E3" s="207"/>
      <c r="F3" s="207"/>
      <c r="G3" s="207"/>
      <c r="H3" s="207"/>
      <c r="I3" s="245" t="s">
        <v>75</v>
      </c>
      <c r="J3" s="203"/>
      <c r="K3" s="259"/>
      <c r="L3" s="203"/>
      <c r="M3" s="203"/>
    </row>
    <row r="4" spans="1:13" ht="12.75" customHeight="1" x14ac:dyDescent="0.25">
      <c r="A4" s="268"/>
      <c r="B4" s="259" t="s">
        <v>566</v>
      </c>
      <c r="C4" s="207"/>
      <c r="D4" s="207"/>
      <c r="E4" s="207"/>
      <c r="F4" s="207"/>
      <c r="G4" s="207"/>
      <c r="H4" s="207"/>
      <c r="I4" s="245" t="s">
        <v>74</v>
      </c>
      <c r="J4" s="203"/>
      <c r="K4" s="259"/>
      <c r="L4" s="204"/>
      <c r="M4" s="203"/>
    </row>
    <row r="5" spans="1:13" ht="12.75" customHeight="1" x14ac:dyDescent="0.25">
      <c r="A5" s="268"/>
      <c r="B5" s="207"/>
      <c r="C5" s="210"/>
      <c r="D5" s="203"/>
      <c r="E5" s="224"/>
      <c r="F5" s="232"/>
      <c r="G5" s="232"/>
      <c r="H5" s="232"/>
      <c r="I5" s="245" t="s">
        <v>585</v>
      </c>
      <c r="J5" s="203"/>
      <c r="K5" s="232"/>
      <c r="L5" s="205"/>
      <c r="M5" s="203"/>
    </row>
    <row r="6" spans="1:13" ht="12.75" customHeight="1" x14ac:dyDescent="0.25">
      <c r="A6" s="268"/>
      <c r="B6" s="207"/>
      <c r="C6" s="207"/>
      <c r="D6" s="207"/>
      <c r="E6" s="207"/>
      <c r="F6" s="207"/>
      <c r="G6" s="207"/>
      <c r="H6" s="207"/>
      <c r="I6" s="245" t="s">
        <v>586</v>
      </c>
      <c r="J6" s="203"/>
      <c r="K6" s="259"/>
      <c r="L6" s="203"/>
      <c r="M6" s="203"/>
    </row>
    <row r="7" spans="1:13" ht="12.75" customHeight="1" x14ac:dyDescent="0.25">
      <c r="A7" s="268"/>
      <c r="B7" s="207"/>
      <c r="C7" s="207"/>
      <c r="D7" s="207"/>
      <c r="E7" s="207"/>
      <c r="F7" s="207"/>
      <c r="G7" s="207"/>
      <c r="H7" s="207"/>
      <c r="I7" s="207"/>
      <c r="J7" s="207"/>
      <c r="K7" s="259"/>
      <c r="L7" s="204"/>
      <c r="M7" s="203"/>
    </row>
    <row r="8" spans="1:13" ht="51" customHeight="1" x14ac:dyDescent="0.25">
      <c r="A8" s="271"/>
      <c r="B8" s="479" t="s">
        <v>642</v>
      </c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203"/>
    </row>
    <row r="9" spans="1:13" ht="29.25" customHeight="1" thickBot="1" x14ac:dyDescent="0.3">
      <c r="A9" s="269"/>
      <c r="B9" s="209"/>
      <c r="C9" s="209"/>
      <c r="D9" s="209"/>
      <c r="E9" s="209"/>
      <c r="F9" s="209"/>
      <c r="G9" s="209"/>
      <c r="H9" s="209"/>
      <c r="I9" s="209"/>
      <c r="J9" s="209"/>
      <c r="K9" s="260"/>
      <c r="L9" s="293" t="s">
        <v>73</v>
      </c>
      <c r="M9" s="203"/>
    </row>
    <row r="10" spans="1:13" ht="46.5" customHeight="1" x14ac:dyDescent="0.25">
      <c r="A10" s="273"/>
      <c r="B10" s="225" t="s">
        <v>72</v>
      </c>
      <c r="C10" s="211" t="s">
        <v>70</v>
      </c>
      <c r="D10" s="211" t="s">
        <v>69</v>
      </c>
      <c r="E10" s="448" t="s">
        <v>68</v>
      </c>
      <c r="F10" s="448"/>
      <c r="G10" s="448"/>
      <c r="H10" s="448"/>
      <c r="I10" s="246" t="s">
        <v>67</v>
      </c>
      <c r="J10" s="211" t="s">
        <v>382</v>
      </c>
      <c r="K10" s="225" t="s">
        <v>384</v>
      </c>
      <c r="L10" s="294" t="s">
        <v>569</v>
      </c>
      <c r="M10" s="204"/>
    </row>
    <row r="11" spans="1:13" ht="15" customHeight="1" x14ac:dyDescent="0.25">
      <c r="A11" s="274"/>
      <c r="B11" s="295" t="s">
        <v>65</v>
      </c>
      <c r="C11" s="212">
        <v>1</v>
      </c>
      <c r="D11" s="218" t="s">
        <v>1</v>
      </c>
      <c r="E11" s="226" t="s">
        <v>1</v>
      </c>
      <c r="F11" s="233" t="s">
        <v>1</v>
      </c>
      <c r="G11" s="226" t="s">
        <v>1</v>
      </c>
      <c r="H11" s="239" t="s">
        <v>1</v>
      </c>
      <c r="I11" s="247" t="s">
        <v>1</v>
      </c>
      <c r="J11" s="253">
        <f>13579287.38/1000</f>
        <v>13579.287380000002</v>
      </c>
      <c r="K11" s="253">
        <f>12650532.95/1000</f>
        <v>12650.532949999999</v>
      </c>
      <c r="L11" s="261">
        <v>11973432.92</v>
      </c>
      <c r="M11" s="204"/>
    </row>
    <row r="12" spans="1:13" ht="29.25" customHeight="1" x14ac:dyDescent="0.25">
      <c r="A12" s="274"/>
      <c r="B12" s="296" t="s">
        <v>64</v>
      </c>
      <c r="C12" s="213">
        <v>1</v>
      </c>
      <c r="D12" s="219">
        <v>2</v>
      </c>
      <c r="E12" s="227" t="s">
        <v>1</v>
      </c>
      <c r="F12" s="234" t="s">
        <v>1</v>
      </c>
      <c r="G12" s="227" t="s">
        <v>1</v>
      </c>
      <c r="H12" s="240" t="s">
        <v>1</v>
      </c>
      <c r="I12" s="248" t="s">
        <v>1</v>
      </c>
      <c r="J12" s="254">
        <f>1320729.48/1000</f>
        <v>1320.72948</v>
      </c>
      <c r="K12" s="254">
        <f>1320729.48/1000</f>
        <v>1320.72948</v>
      </c>
      <c r="L12" s="262">
        <f>1320679.45/1000</f>
        <v>1320.6794499999999</v>
      </c>
      <c r="M12" s="204"/>
    </row>
    <row r="13" spans="1:13" ht="51" customHeight="1" x14ac:dyDescent="0.25">
      <c r="A13" s="274"/>
      <c r="B13" s="297" t="s">
        <v>587</v>
      </c>
      <c r="C13" s="214">
        <v>1</v>
      </c>
      <c r="D13" s="220">
        <v>2</v>
      </c>
      <c r="E13" s="228" t="s">
        <v>49</v>
      </c>
      <c r="F13" s="235" t="s">
        <v>5</v>
      </c>
      <c r="G13" s="228" t="s">
        <v>4</v>
      </c>
      <c r="H13" s="241" t="s">
        <v>3</v>
      </c>
      <c r="I13" s="249" t="s">
        <v>1</v>
      </c>
      <c r="J13" s="255">
        <f>1320729.48/1000</f>
        <v>1320.72948</v>
      </c>
      <c r="K13" s="255">
        <f>1320729.48/1000</f>
        <v>1320.72948</v>
      </c>
      <c r="L13" s="262">
        <f t="shared" ref="L13:L17" si="0">1320679.45/1000</f>
        <v>1320.6794499999999</v>
      </c>
      <c r="M13" s="204"/>
    </row>
    <row r="14" spans="1:13" ht="20.25" customHeight="1" x14ac:dyDescent="0.25">
      <c r="A14" s="274"/>
      <c r="B14" s="297" t="s">
        <v>588</v>
      </c>
      <c r="C14" s="214">
        <v>1</v>
      </c>
      <c r="D14" s="220">
        <v>2</v>
      </c>
      <c r="E14" s="228" t="s">
        <v>49</v>
      </c>
      <c r="F14" s="235" t="s">
        <v>31</v>
      </c>
      <c r="G14" s="228" t="s">
        <v>4</v>
      </c>
      <c r="H14" s="241" t="s">
        <v>3</v>
      </c>
      <c r="I14" s="249" t="s">
        <v>1</v>
      </c>
      <c r="J14" s="255">
        <f>1320729.48/1000</f>
        <v>1320.72948</v>
      </c>
      <c r="K14" s="255">
        <f t="shared" ref="K14:K17" si="1">1320729.48/1000</f>
        <v>1320.72948</v>
      </c>
      <c r="L14" s="262">
        <f t="shared" si="0"/>
        <v>1320.6794499999999</v>
      </c>
      <c r="M14" s="204"/>
    </row>
    <row r="15" spans="1:13" ht="38.25" customHeight="1" x14ac:dyDescent="0.25">
      <c r="A15" s="274"/>
      <c r="B15" s="297" t="s">
        <v>589</v>
      </c>
      <c r="C15" s="214">
        <v>1</v>
      </c>
      <c r="D15" s="220">
        <v>2</v>
      </c>
      <c r="E15" s="228" t="s">
        <v>49</v>
      </c>
      <c r="F15" s="235" t="s">
        <v>31</v>
      </c>
      <c r="G15" s="228" t="s">
        <v>6</v>
      </c>
      <c r="H15" s="241" t="s">
        <v>3</v>
      </c>
      <c r="I15" s="249" t="s">
        <v>1</v>
      </c>
      <c r="J15" s="255">
        <f>1320729.48/1000</f>
        <v>1320.72948</v>
      </c>
      <c r="K15" s="255">
        <f t="shared" si="1"/>
        <v>1320.72948</v>
      </c>
      <c r="L15" s="262">
        <f t="shared" si="0"/>
        <v>1320.6794499999999</v>
      </c>
      <c r="M15" s="204"/>
    </row>
    <row r="16" spans="1:13" ht="26.25" customHeight="1" x14ac:dyDescent="0.25">
      <c r="A16" s="274"/>
      <c r="B16" s="297" t="s">
        <v>590</v>
      </c>
      <c r="C16" s="214">
        <v>1</v>
      </c>
      <c r="D16" s="220">
        <v>2</v>
      </c>
      <c r="E16" s="228" t="s">
        <v>49</v>
      </c>
      <c r="F16" s="235" t="s">
        <v>31</v>
      </c>
      <c r="G16" s="228" t="s">
        <v>6</v>
      </c>
      <c r="H16" s="241" t="s">
        <v>63</v>
      </c>
      <c r="I16" s="249" t="s">
        <v>1</v>
      </c>
      <c r="J16" s="255">
        <f>1320729.48/1000</f>
        <v>1320.72948</v>
      </c>
      <c r="K16" s="255">
        <f t="shared" si="1"/>
        <v>1320.72948</v>
      </c>
      <c r="L16" s="262">
        <f t="shared" si="0"/>
        <v>1320.6794499999999</v>
      </c>
      <c r="M16" s="204"/>
    </row>
    <row r="17" spans="1:13" ht="37.5" customHeight="1" x14ac:dyDescent="0.25">
      <c r="A17" s="274"/>
      <c r="B17" s="298" t="s">
        <v>51</v>
      </c>
      <c r="C17" s="215">
        <v>1</v>
      </c>
      <c r="D17" s="221">
        <v>2</v>
      </c>
      <c r="E17" s="229" t="s">
        <v>49</v>
      </c>
      <c r="F17" s="236" t="s">
        <v>31</v>
      </c>
      <c r="G17" s="229" t="s">
        <v>6</v>
      </c>
      <c r="H17" s="242" t="s">
        <v>63</v>
      </c>
      <c r="I17" s="250" t="s">
        <v>50</v>
      </c>
      <c r="J17" s="256">
        <f>1320729.48/1000</f>
        <v>1320.72948</v>
      </c>
      <c r="K17" s="405">
        <f t="shared" si="1"/>
        <v>1320.72948</v>
      </c>
      <c r="L17" s="409">
        <f t="shared" si="0"/>
        <v>1320.6794499999999</v>
      </c>
      <c r="M17" s="204"/>
    </row>
    <row r="18" spans="1:13" ht="48" customHeight="1" x14ac:dyDescent="0.25">
      <c r="A18" s="274"/>
      <c r="B18" s="299" t="s">
        <v>62</v>
      </c>
      <c r="C18" s="300">
        <v>1</v>
      </c>
      <c r="D18" s="301">
        <v>4</v>
      </c>
      <c r="E18" s="302" t="s">
        <v>1</v>
      </c>
      <c r="F18" s="303" t="s">
        <v>1</v>
      </c>
      <c r="G18" s="302" t="s">
        <v>1</v>
      </c>
      <c r="H18" s="304" t="s">
        <v>1</v>
      </c>
      <c r="I18" s="305" t="s">
        <v>1</v>
      </c>
      <c r="J18" s="306">
        <f>3956563.47/1000</f>
        <v>3956.5634700000001</v>
      </c>
      <c r="K18" s="407">
        <f>3926563.47/1000</f>
        <v>3926.5634700000001</v>
      </c>
      <c r="L18" s="307">
        <f>3757663.47/1000</f>
        <v>3757.6634700000004</v>
      </c>
      <c r="M18" s="204"/>
    </row>
    <row r="19" spans="1:13" ht="50.25" customHeight="1" x14ac:dyDescent="0.25">
      <c r="A19" s="274"/>
      <c r="B19" s="297" t="s">
        <v>587</v>
      </c>
      <c r="C19" s="214">
        <v>1</v>
      </c>
      <c r="D19" s="220">
        <v>4</v>
      </c>
      <c r="E19" s="228" t="s">
        <v>49</v>
      </c>
      <c r="F19" s="235" t="s">
        <v>5</v>
      </c>
      <c r="G19" s="228" t="s">
        <v>4</v>
      </c>
      <c r="H19" s="241" t="s">
        <v>3</v>
      </c>
      <c r="I19" s="249" t="s">
        <v>1</v>
      </c>
      <c r="J19" s="255">
        <f>3956563.47/1000</f>
        <v>3956.5634700000001</v>
      </c>
      <c r="K19" s="406">
        <f t="shared" ref="K19:K20" si="2">3926563.47/1000</f>
        <v>3926.5634700000001</v>
      </c>
      <c r="L19" s="263">
        <f>3757663.47/1000</f>
        <v>3757.6634700000004</v>
      </c>
      <c r="M19" s="204"/>
    </row>
    <row r="20" spans="1:13" ht="20.25" customHeight="1" x14ac:dyDescent="0.25">
      <c r="A20" s="274"/>
      <c r="B20" s="297" t="s">
        <v>588</v>
      </c>
      <c r="C20" s="214">
        <v>1</v>
      </c>
      <c r="D20" s="220">
        <v>4</v>
      </c>
      <c r="E20" s="228" t="s">
        <v>49</v>
      </c>
      <c r="F20" s="235" t="s">
        <v>31</v>
      </c>
      <c r="G20" s="228" t="s">
        <v>4</v>
      </c>
      <c r="H20" s="241" t="s">
        <v>3</v>
      </c>
      <c r="I20" s="249" t="s">
        <v>1</v>
      </c>
      <c r="J20" s="255">
        <f>3956563.47/1000</f>
        <v>3956.5634700000001</v>
      </c>
      <c r="K20" s="306">
        <f t="shared" si="2"/>
        <v>3926.5634700000001</v>
      </c>
      <c r="L20" s="263">
        <f>3757663.47/1000</f>
        <v>3757.6634700000004</v>
      </c>
      <c r="M20" s="204"/>
    </row>
    <row r="21" spans="1:13" ht="15" customHeight="1" x14ac:dyDescent="0.25">
      <c r="A21" s="274"/>
      <c r="B21" s="297" t="s">
        <v>589</v>
      </c>
      <c r="C21" s="214">
        <v>1</v>
      </c>
      <c r="D21" s="220">
        <v>4</v>
      </c>
      <c r="E21" s="228" t="s">
        <v>49</v>
      </c>
      <c r="F21" s="235" t="s">
        <v>31</v>
      </c>
      <c r="G21" s="228" t="s">
        <v>6</v>
      </c>
      <c r="H21" s="241" t="s">
        <v>3</v>
      </c>
      <c r="I21" s="249" t="s">
        <v>1</v>
      </c>
      <c r="J21" s="255">
        <f>3739363.47/1000</f>
        <v>3739.3634700000002</v>
      </c>
      <c r="K21" s="255">
        <f>3709363.47/1000</f>
        <v>3709.3634700000002</v>
      </c>
      <c r="L21" s="263">
        <f>3709363.47/1000</f>
        <v>3709.3634700000002</v>
      </c>
      <c r="M21" s="204"/>
    </row>
    <row r="22" spans="1:13" ht="29.25" customHeight="1" x14ac:dyDescent="0.25">
      <c r="A22" s="274"/>
      <c r="B22" s="297" t="s">
        <v>591</v>
      </c>
      <c r="C22" s="214">
        <v>1</v>
      </c>
      <c r="D22" s="220">
        <v>4</v>
      </c>
      <c r="E22" s="228" t="s">
        <v>49</v>
      </c>
      <c r="F22" s="235" t="s">
        <v>31</v>
      </c>
      <c r="G22" s="228" t="s">
        <v>6</v>
      </c>
      <c r="H22" s="241" t="s">
        <v>61</v>
      </c>
      <c r="I22" s="249" t="s">
        <v>1</v>
      </c>
      <c r="J22" s="255">
        <f>3710363.47/1000</f>
        <v>3710.3634700000002</v>
      </c>
      <c r="K22" s="255">
        <f>3680363.47/1000</f>
        <v>3680.3634700000002</v>
      </c>
      <c r="L22" s="263">
        <f>3680363.47/1000</f>
        <v>3680.3634700000002</v>
      </c>
      <c r="M22" s="204"/>
    </row>
    <row r="23" spans="1:13" ht="29.25" customHeight="1" x14ac:dyDescent="0.25">
      <c r="A23" s="274"/>
      <c r="B23" s="308" t="s">
        <v>51</v>
      </c>
      <c r="C23" s="214">
        <v>1</v>
      </c>
      <c r="D23" s="220">
        <v>4</v>
      </c>
      <c r="E23" s="228" t="s">
        <v>49</v>
      </c>
      <c r="F23" s="235" t="s">
        <v>31</v>
      </c>
      <c r="G23" s="228" t="s">
        <v>6</v>
      </c>
      <c r="H23" s="241" t="s">
        <v>61</v>
      </c>
      <c r="I23" s="249" t="s">
        <v>50</v>
      </c>
      <c r="J23" s="255">
        <f>3474863.47/1000</f>
        <v>3474.8634700000002</v>
      </c>
      <c r="K23" s="255">
        <f>3474863.47/1000</f>
        <v>3474.8634700000002</v>
      </c>
      <c r="L23" s="263">
        <f>3474863.47/1000</f>
        <v>3474.8634700000002</v>
      </c>
      <c r="M23" s="204"/>
    </row>
    <row r="24" spans="1:13" ht="38.25" customHeight="1" x14ac:dyDescent="0.25">
      <c r="A24" s="274"/>
      <c r="B24" s="298" t="s">
        <v>22</v>
      </c>
      <c r="C24" s="215">
        <v>1</v>
      </c>
      <c r="D24" s="221">
        <v>4</v>
      </c>
      <c r="E24" s="229" t="s">
        <v>49</v>
      </c>
      <c r="F24" s="236" t="s">
        <v>31</v>
      </c>
      <c r="G24" s="229" t="s">
        <v>6</v>
      </c>
      <c r="H24" s="242" t="s">
        <v>61</v>
      </c>
      <c r="I24" s="250" t="s">
        <v>19</v>
      </c>
      <c r="J24" s="256">
        <f>235500/1000</f>
        <v>235.5</v>
      </c>
      <c r="K24" s="256">
        <f>205500/1000</f>
        <v>205.5</v>
      </c>
      <c r="L24" s="264">
        <f>205500/1000</f>
        <v>205.5</v>
      </c>
      <c r="M24" s="204"/>
    </row>
    <row r="25" spans="1:13" ht="29.25" customHeight="1" x14ac:dyDescent="0.25">
      <c r="A25" s="274"/>
      <c r="B25" s="309" t="s">
        <v>405</v>
      </c>
      <c r="C25" s="216">
        <v>1</v>
      </c>
      <c r="D25" s="222">
        <v>4</v>
      </c>
      <c r="E25" s="230" t="s">
        <v>49</v>
      </c>
      <c r="F25" s="237" t="s">
        <v>31</v>
      </c>
      <c r="G25" s="230" t="s">
        <v>6</v>
      </c>
      <c r="H25" s="243" t="s">
        <v>592</v>
      </c>
      <c r="I25" s="251" t="s">
        <v>1</v>
      </c>
      <c r="J25" s="257">
        <f t="shared" ref="J25:L26" si="3">4000/1000</f>
        <v>4</v>
      </c>
      <c r="K25" s="405">
        <f t="shared" si="3"/>
        <v>4</v>
      </c>
      <c r="L25" s="265">
        <f t="shared" si="3"/>
        <v>4</v>
      </c>
      <c r="M25" s="204"/>
    </row>
    <row r="26" spans="1:13" ht="29.25" customHeight="1" x14ac:dyDescent="0.25">
      <c r="A26" s="274"/>
      <c r="B26" s="298" t="s">
        <v>22</v>
      </c>
      <c r="C26" s="215">
        <v>1</v>
      </c>
      <c r="D26" s="221">
        <v>4</v>
      </c>
      <c r="E26" s="229" t="s">
        <v>49</v>
      </c>
      <c r="F26" s="236" t="s">
        <v>31</v>
      </c>
      <c r="G26" s="229" t="s">
        <v>6</v>
      </c>
      <c r="H26" s="242" t="s">
        <v>592</v>
      </c>
      <c r="I26" s="250" t="s">
        <v>19</v>
      </c>
      <c r="J26" s="256">
        <f t="shared" si="3"/>
        <v>4</v>
      </c>
      <c r="K26" s="405">
        <f t="shared" si="3"/>
        <v>4</v>
      </c>
      <c r="L26" s="264">
        <f t="shared" si="3"/>
        <v>4</v>
      </c>
      <c r="M26" s="204"/>
    </row>
    <row r="27" spans="1:13" ht="29.25" customHeight="1" x14ac:dyDescent="0.25">
      <c r="A27" s="274"/>
      <c r="B27" s="309" t="s">
        <v>365</v>
      </c>
      <c r="C27" s="216">
        <v>1</v>
      </c>
      <c r="D27" s="222">
        <v>4</v>
      </c>
      <c r="E27" s="230" t="s">
        <v>49</v>
      </c>
      <c r="F27" s="237" t="s">
        <v>31</v>
      </c>
      <c r="G27" s="230" t="s">
        <v>6</v>
      </c>
      <c r="H27" s="243" t="s">
        <v>593</v>
      </c>
      <c r="I27" s="251" t="s">
        <v>1</v>
      </c>
      <c r="J27" s="257">
        <f t="shared" ref="J27:L28" si="4">25000/1000</f>
        <v>25</v>
      </c>
      <c r="K27" s="257">
        <f t="shared" si="4"/>
        <v>25</v>
      </c>
      <c r="L27" s="265">
        <f t="shared" si="4"/>
        <v>25</v>
      </c>
      <c r="M27" s="204"/>
    </row>
    <row r="28" spans="1:13" ht="29.25" customHeight="1" x14ac:dyDescent="0.25">
      <c r="A28" s="274"/>
      <c r="B28" s="298" t="s">
        <v>22</v>
      </c>
      <c r="C28" s="215">
        <v>1</v>
      </c>
      <c r="D28" s="221">
        <v>4</v>
      </c>
      <c r="E28" s="229" t="s">
        <v>49</v>
      </c>
      <c r="F28" s="236" t="s">
        <v>31</v>
      </c>
      <c r="G28" s="229" t="s">
        <v>6</v>
      </c>
      <c r="H28" s="242" t="s">
        <v>593</v>
      </c>
      <c r="I28" s="250" t="s">
        <v>19</v>
      </c>
      <c r="J28" s="256">
        <f t="shared" si="4"/>
        <v>25</v>
      </c>
      <c r="K28" s="256">
        <f t="shared" si="4"/>
        <v>25</v>
      </c>
      <c r="L28" s="264">
        <f t="shared" si="4"/>
        <v>25</v>
      </c>
      <c r="M28" s="204"/>
    </row>
    <row r="29" spans="1:13" ht="33.75" customHeight="1" x14ac:dyDescent="0.25">
      <c r="A29" s="274"/>
      <c r="B29" s="309" t="s">
        <v>594</v>
      </c>
      <c r="C29" s="216">
        <v>1</v>
      </c>
      <c r="D29" s="222">
        <v>4</v>
      </c>
      <c r="E29" s="230" t="s">
        <v>49</v>
      </c>
      <c r="F29" s="237" t="s">
        <v>31</v>
      </c>
      <c r="G29" s="230" t="s">
        <v>21</v>
      </c>
      <c r="H29" s="243" t="s">
        <v>3</v>
      </c>
      <c r="I29" s="251" t="s">
        <v>1</v>
      </c>
      <c r="J29" s="257">
        <f>217200/1000</f>
        <v>217.2</v>
      </c>
      <c r="K29" s="257">
        <f>217200/1000</f>
        <v>217.2</v>
      </c>
      <c r="L29" s="265">
        <f>48300/1000</f>
        <v>48.3</v>
      </c>
      <c r="M29" s="204"/>
    </row>
    <row r="30" spans="1:13" ht="51.75" customHeight="1" x14ac:dyDescent="0.25">
      <c r="A30" s="274"/>
      <c r="B30" s="297" t="s">
        <v>595</v>
      </c>
      <c r="C30" s="214">
        <v>1</v>
      </c>
      <c r="D30" s="220">
        <v>4</v>
      </c>
      <c r="E30" s="228" t="s">
        <v>49</v>
      </c>
      <c r="F30" s="235" t="s">
        <v>31</v>
      </c>
      <c r="G30" s="228" t="s">
        <v>21</v>
      </c>
      <c r="H30" s="241" t="s">
        <v>596</v>
      </c>
      <c r="I30" s="249" t="s">
        <v>1</v>
      </c>
      <c r="J30" s="255">
        <f>168900/1000</f>
        <v>168.9</v>
      </c>
      <c r="K30" s="255">
        <f>168900/1000</f>
        <v>168.9</v>
      </c>
      <c r="L30" s="263">
        <v>0</v>
      </c>
      <c r="M30" s="204"/>
    </row>
    <row r="31" spans="1:13" ht="23.25" customHeight="1" x14ac:dyDescent="0.25">
      <c r="A31" s="274"/>
      <c r="B31" s="298" t="s">
        <v>247</v>
      </c>
      <c r="C31" s="215">
        <v>1</v>
      </c>
      <c r="D31" s="221">
        <v>4</v>
      </c>
      <c r="E31" s="229" t="s">
        <v>49</v>
      </c>
      <c r="F31" s="236" t="s">
        <v>31</v>
      </c>
      <c r="G31" s="229" t="s">
        <v>21</v>
      </c>
      <c r="H31" s="242" t="s">
        <v>596</v>
      </c>
      <c r="I31" s="250" t="s">
        <v>366</v>
      </c>
      <c r="J31" s="256">
        <f>168900/1000</f>
        <v>168.9</v>
      </c>
      <c r="K31" s="256">
        <f>168900/1000</f>
        <v>168.9</v>
      </c>
      <c r="L31" s="264">
        <v>0</v>
      </c>
      <c r="M31" s="204"/>
    </row>
    <row r="32" spans="1:13" ht="50.25" customHeight="1" x14ac:dyDescent="0.25">
      <c r="A32" s="274"/>
      <c r="B32" s="309" t="s">
        <v>597</v>
      </c>
      <c r="C32" s="216">
        <v>1</v>
      </c>
      <c r="D32" s="222">
        <v>4</v>
      </c>
      <c r="E32" s="230" t="s">
        <v>49</v>
      </c>
      <c r="F32" s="237" t="s">
        <v>31</v>
      </c>
      <c r="G32" s="230" t="s">
        <v>21</v>
      </c>
      <c r="H32" s="243" t="s">
        <v>598</v>
      </c>
      <c r="I32" s="251" t="s">
        <v>1</v>
      </c>
      <c r="J32" s="257">
        <f t="shared" ref="J32:L33" si="5">40300/1000</f>
        <v>40.299999999999997</v>
      </c>
      <c r="K32" s="257">
        <f t="shared" si="5"/>
        <v>40.299999999999997</v>
      </c>
      <c r="L32" s="265">
        <f t="shared" si="5"/>
        <v>40.299999999999997</v>
      </c>
      <c r="M32" s="204"/>
    </row>
    <row r="33" spans="1:13" ht="29.25" customHeight="1" x14ac:dyDescent="0.25">
      <c r="A33" s="274"/>
      <c r="B33" s="298" t="s">
        <v>247</v>
      </c>
      <c r="C33" s="215">
        <v>1</v>
      </c>
      <c r="D33" s="221">
        <v>4</v>
      </c>
      <c r="E33" s="229" t="s">
        <v>49</v>
      </c>
      <c r="F33" s="236" t="s">
        <v>31</v>
      </c>
      <c r="G33" s="229" t="s">
        <v>21</v>
      </c>
      <c r="H33" s="242" t="s">
        <v>598</v>
      </c>
      <c r="I33" s="250" t="s">
        <v>366</v>
      </c>
      <c r="J33" s="256">
        <f t="shared" si="5"/>
        <v>40.299999999999997</v>
      </c>
      <c r="K33" s="256">
        <f t="shared" si="5"/>
        <v>40.299999999999997</v>
      </c>
      <c r="L33" s="264">
        <f t="shared" si="5"/>
        <v>40.299999999999997</v>
      </c>
      <c r="M33" s="204"/>
    </row>
    <row r="34" spans="1:13" ht="61.5" customHeight="1" x14ac:dyDescent="0.25">
      <c r="A34" s="274"/>
      <c r="B34" s="309" t="s">
        <v>599</v>
      </c>
      <c r="C34" s="216">
        <v>1</v>
      </c>
      <c r="D34" s="222">
        <v>4</v>
      </c>
      <c r="E34" s="230" t="s">
        <v>49</v>
      </c>
      <c r="F34" s="237" t="s">
        <v>31</v>
      </c>
      <c r="G34" s="230" t="s">
        <v>21</v>
      </c>
      <c r="H34" s="243" t="s">
        <v>600</v>
      </c>
      <c r="I34" s="251" t="s">
        <v>1</v>
      </c>
      <c r="J34" s="257">
        <f t="shared" ref="J34:L35" si="6">8000/1000</f>
        <v>8</v>
      </c>
      <c r="K34" s="257">
        <f t="shared" si="6"/>
        <v>8</v>
      </c>
      <c r="L34" s="265">
        <f t="shared" si="6"/>
        <v>8</v>
      </c>
      <c r="M34" s="204"/>
    </row>
    <row r="35" spans="1:13" ht="29.25" customHeight="1" x14ac:dyDescent="0.25">
      <c r="A35" s="274"/>
      <c r="B35" s="298" t="s">
        <v>247</v>
      </c>
      <c r="C35" s="215">
        <v>1</v>
      </c>
      <c r="D35" s="221">
        <v>4</v>
      </c>
      <c r="E35" s="229" t="s">
        <v>49</v>
      </c>
      <c r="F35" s="236" t="s">
        <v>31</v>
      </c>
      <c r="G35" s="229" t="s">
        <v>21</v>
      </c>
      <c r="H35" s="242" t="s">
        <v>600</v>
      </c>
      <c r="I35" s="250" t="s">
        <v>366</v>
      </c>
      <c r="J35" s="256">
        <f t="shared" si="6"/>
        <v>8</v>
      </c>
      <c r="K35" s="256">
        <f t="shared" si="6"/>
        <v>8</v>
      </c>
      <c r="L35" s="264">
        <f t="shared" si="6"/>
        <v>8</v>
      </c>
      <c r="M35" s="204"/>
    </row>
    <row r="36" spans="1:13" ht="39" customHeight="1" x14ac:dyDescent="0.25">
      <c r="A36" s="274"/>
      <c r="B36" s="299" t="s">
        <v>328</v>
      </c>
      <c r="C36" s="300">
        <v>1</v>
      </c>
      <c r="D36" s="301">
        <v>6</v>
      </c>
      <c r="E36" s="302" t="s">
        <v>1</v>
      </c>
      <c r="F36" s="303" t="s">
        <v>1</v>
      </c>
      <c r="G36" s="302" t="s">
        <v>1</v>
      </c>
      <c r="H36" s="304" t="s">
        <v>1</v>
      </c>
      <c r="I36" s="305" t="s">
        <v>1</v>
      </c>
      <c r="J36" s="306">
        <f t="shared" ref="J36:J41" si="7">55400/1000</f>
        <v>55.4</v>
      </c>
      <c r="K36" s="306">
        <v>0</v>
      </c>
      <c r="L36" s="307">
        <v>0</v>
      </c>
      <c r="M36" s="204"/>
    </row>
    <row r="37" spans="1:13" ht="54" customHeight="1" x14ac:dyDescent="0.25">
      <c r="A37" s="274"/>
      <c r="B37" s="297" t="s">
        <v>587</v>
      </c>
      <c r="C37" s="214">
        <v>1</v>
      </c>
      <c r="D37" s="220">
        <v>6</v>
      </c>
      <c r="E37" s="228" t="s">
        <v>49</v>
      </c>
      <c r="F37" s="235" t="s">
        <v>5</v>
      </c>
      <c r="G37" s="228" t="s">
        <v>4</v>
      </c>
      <c r="H37" s="241" t="s">
        <v>3</v>
      </c>
      <c r="I37" s="249" t="s">
        <v>1</v>
      </c>
      <c r="J37" s="255">
        <f t="shared" si="7"/>
        <v>55.4</v>
      </c>
      <c r="K37" s="255">
        <v>0</v>
      </c>
      <c r="L37" s="263">
        <v>0</v>
      </c>
      <c r="M37" s="204"/>
    </row>
    <row r="38" spans="1:13" ht="19.5" customHeight="1" x14ac:dyDescent="0.25">
      <c r="A38" s="274"/>
      <c r="B38" s="297" t="s">
        <v>588</v>
      </c>
      <c r="C38" s="214">
        <v>1</v>
      </c>
      <c r="D38" s="220">
        <v>6</v>
      </c>
      <c r="E38" s="228" t="s">
        <v>49</v>
      </c>
      <c r="F38" s="235" t="s">
        <v>31</v>
      </c>
      <c r="G38" s="228" t="s">
        <v>4</v>
      </c>
      <c r="H38" s="241" t="s">
        <v>3</v>
      </c>
      <c r="I38" s="249" t="s">
        <v>1</v>
      </c>
      <c r="J38" s="255">
        <f t="shared" si="7"/>
        <v>55.4</v>
      </c>
      <c r="K38" s="255">
        <v>0</v>
      </c>
      <c r="L38" s="263">
        <v>0</v>
      </c>
      <c r="M38" s="204"/>
    </row>
    <row r="39" spans="1:13" ht="29.25" customHeight="1" x14ac:dyDescent="0.25">
      <c r="A39" s="274"/>
      <c r="B39" s="297" t="s">
        <v>594</v>
      </c>
      <c r="C39" s="214">
        <v>1</v>
      </c>
      <c r="D39" s="220">
        <v>6</v>
      </c>
      <c r="E39" s="228" t="s">
        <v>49</v>
      </c>
      <c r="F39" s="235" t="s">
        <v>31</v>
      </c>
      <c r="G39" s="228" t="s">
        <v>21</v>
      </c>
      <c r="H39" s="241" t="s">
        <v>3</v>
      </c>
      <c r="I39" s="249" t="s">
        <v>1</v>
      </c>
      <c r="J39" s="255">
        <f t="shared" si="7"/>
        <v>55.4</v>
      </c>
      <c r="K39" s="255">
        <v>0</v>
      </c>
      <c r="L39" s="263">
        <v>0</v>
      </c>
      <c r="M39" s="204"/>
    </row>
    <row r="40" spans="1:13" ht="24" customHeight="1" x14ac:dyDescent="0.25">
      <c r="A40" s="274"/>
      <c r="B40" s="297" t="s">
        <v>601</v>
      </c>
      <c r="C40" s="214">
        <v>1</v>
      </c>
      <c r="D40" s="220">
        <v>6</v>
      </c>
      <c r="E40" s="228" t="s">
        <v>49</v>
      </c>
      <c r="F40" s="235" t="s">
        <v>31</v>
      </c>
      <c r="G40" s="228" t="s">
        <v>21</v>
      </c>
      <c r="H40" s="241" t="s">
        <v>602</v>
      </c>
      <c r="I40" s="249" t="s">
        <v>1</v>
      </c>
      <c r="J40" s="255">
        <f t="shared" si="7"/>
        <v>55.4</v>
      </c>
      <c r="K40" s="255">
        <v>0</v>
      </c>
      <c r="L40" s="263">
        <v>0</v>
      </c>
      <c r="M40" s="204"/>
    </row>
    <row r="41" spans="1:13" ht="15" customHeight="1" x14ac:dyDescent="0.25">
      <c r="A41" s="274"/>
      <c r="B41" s="298" t="s">
        <v>247</v>
      </c>
      <c r="C41" s="215">
        <v>1</v>
      </c>
      <c r="D41" s="221">
        <v>6</v>
      </c>
      <c r="E41" s="229" t="s">
        <v>49</v>
      </c>
      <c r="F41" s="236" t="s">
        <v>31</v>
      </c>
      <c r="G41" s="229" t="s">
        <v>21</v>
      </c>
      <c r="H41" s="242" t="s">
        <v>602</v>
      </c>
      <c r="I41" s="250" t="s">
        <v>366</v>
      </c>
      <c r="J41" s="256">
        <f t="shared" si="7"/>
        <v>55.4</v>
      </c>
      <c r="K41" s="256">
        <v>0</v>
      </c>
      <c r="L41" s="264">
        <v>0</v>
      </c>
      <c r="M41" s="204"/>
    </row>
    <row r="42" spans="1:13" ht="29.25" customHeight="1" x14ac:dyDescent="0.25">
      <c r="A42" s="274"/>
      <c r="B42" s="299" t="s">
        <v>60</v>
      </c>
      <c r="C42" s="300">
        <v>1</v>
      </c>
      <c r="D42" s="301">
        <v>13</v>
      </c>
      <c r="E42" s="302" t="s">
        <v>1</v>
      </c>
      <c r="F42" s="303" t="s">
        <v>1</v>
      </c>
      <c r="G42" s="302" t="s">
        <v>1</v>
      </c>
      <c r="H42" s="304" t="s">
        <v>1</v>
      </c>
      <c r="I42" s="305" t="s">
        <v>1</v>
      </c>
      <c r="J42" s="306">
        <f>8246594.43/1000</f>
        <v>8246.5944299999992</v>
      </c>
      <c r="K42" s="306">
        <f>7403240/1000</f>
        <v>7403.24</v>
      </c>
      <c r="L42" s="307">
        <f>6895090/1000</f>
        <v>6895.09</v>
      </c>
      <c r="M42" s="204"/>
    </row>
    <row r="43" spans="1:13" ht="57" customHeight="1" x14ac:dyDescent="0.25">
      <c r="A43" s="274"/>
      <c r="B43" s="297" t="s">
        <v>587</v>
      </c>
      <c r="C43" s="214">
        <v>1</v>
      </c>
      <c r="D43" s="220">
        <v>13</v>
      </c>
      <c r="E43" s="228" t="s">
        <v>49</v>
      </c>
      <c r="F43" s="235" t="s">
        <v>5</v>
      </c>
      <c r="G43" s="228" t="s">
        <v>4</v>
      </c>
      <c r="H43" s="241" t="s">
        <v>3</v>
      </c>
      <c r="I43" s="249" t="s">
        <v>1</v>
      </c>
      <c r="J43" s="255">
        <f>8246594.43/1000</f>
        <v>8246.5944299999992</v>
      </c>
      <c r="K43" s="255">
        <f>7403240/1000</f>
        <v>7403.24</v>
      </c>
      <c r="L43" s="263">
        <f>6895090/1000</f>
        <v>6895.09</v>
      </c>
      <c r="M43" s="204"/>
    </row>
    <row r="44" spans="1:13" ht="18.75" customHeight="1" x14ac:dyDescent="0.25">
      <c r="A44" s="274"/>
      <c r="B44" s="297" t="s">
        <v>588</v>
      </c>
      <c r="C44" s="214">
        <v>1</v>
      </c>
      <c r="D44" s="220">
        <v>13</v>
      </c>
      <c r="E44" s="228" t="s">
        <v>49</v>
      </c>
      <c r="F44" s="235" t="s">
        <v>31</v>
      </c>
      <c r="G44" s="228" t="s">
        <v>4</v>
      </c>
      <c r="H44" s="241" t="s">
        <v>3</v>
      </c>
      <c r="I44" s="249" t="s">
        <v>1</v>
      </c>
      <c r="J44" s="255">
        <f>8246594.43/1000</f>
        <v>8246.5944299999992</v>
      </c>
      <c r="K44" s="255">
        <f>7403240/1000</f>
        <v>7403.24</v>
      </c>
      <c r="L44" s="263">
        <f>6895090/1000</f>
        <v>6895.09</v>
      </c>
      <c r="M44" s="204"/>
    </row>
    <row r="45" spans="1:13" ht="37.5" customHeight="1" x14ac:dyDescent="0.25">
      <c r="A45" s="274"/>
      <c r="B45" s="297" t="s">
        <v>589</v>
      </c>
      <c r="C45" s="214">
        <v>1</v>
      </c>
      <c r="D45" s="220">
        <v>13</v>
      </c>
      <c r="E45" s="228" t="s">
        <v>49</v>
      </c>
      <c r="F45" s="235" t="s">
        <v>31</v>
      </c>
      <c r="G45" s="228" t="s">
        <v>6</v>
      </c>
      <c r="H45" s="241" t="s">
        <v>3</v>
      </c>
      <c r="I45" s="249" t="s">
        <v>1</v>
      </c>
      <c r="J45" s="255">
        <f>8246594.43/1000</f>
        <v>8246.5944299999992</v>
      </c>
      <c r="K45" s="255">
        <f>7403240/1000</f>
        <v>7403.24</v>
      </c>
      <c r="L45" s="263">
        <f>6895090/1000</f>
        <v>6895.09</v>
      </c>
      <c r="M45" s="204"/>
    </row>
    <row r="46" spans="1:13" ht="29.25" customHeight="1" x14ac:dyDescent="0.25">
      <c r="A46" s="274"/>
      <c r="B46" s="297" t="s">
        <v>603</v>
      </c>
      <c r="C46" s="214">
        <v>1</v>
      </c>
      <c r="D46" s="220">
        <v>13</v>
      </c>
      <c r="E46" s="228" t="s">
        <v>49</v>
      </c>
      <c r="F46" s="235" t="s">
        <v>31</v>
      </c>
      <c r="G46" s="228" t="s">
        <v>6</v>
      </c>
      <c r="H46" s="241" t="s">
        <v>604</v>
      </c>
      <c r="I46" s="249" t="s">
        <v>1</v>
      </c>
      <c r="J46" s="255">
        <f>7079494.43/1000</f>
        <v>7079.4944299999997</v>
      </c>
      <c r="K46" s="255">
        <f>6819140/1000</f>
        <v>6819.14</v>
      </c>
      <c r="L46" s="263">
        <f>6310990/1000</f>
        <v>6310.99</v>
      </c>
      <c r="M46" s="204"/>
    </row>
    <row r="47" spans="1:13" ht="25.5" customHeight="1" x14ac:dyDescent="0.25">
      <c r="A47" s="274"/>
      <c r="B47" s="308" t="s">
        <v>605</v>
      </c>
      <c r="C47" s="214">
        <v>1</v>
      </c>
      <c r="D47" s="220">
        <v>13</v>
      </c>
      <c r="E47" s="228" t="s">
        <v>49</v>
      </c>
      <c r="F47" s="235" t="s">
        <v>31</v>
      </c>
      <c r="G47" s="228" t="s">
        <v>6</v>
      </c>
      <c r="H47" s="241" t="s">
        <v>604</v>
      </c>
      <c r="I47" s="249" t="s">
        <v>606</v>
      </c>
      <c r="J47" s="255">
        <f>5527994.43/1000</f>
        <v>5527.9944299999997</v>
      </c>
      <c r="K47" s="255">
        <f>6110990/1000</f>
        <v>6110.99</v>
      </c>
      <c r="L47" s="263">
        <f>6110990/1000</f>
        <v>6110.99</v>
      </c>
      <c r="M47" s="204"/>
    </row>
    <row r="48" spans="1:13" ht="39.75" customHeight="1" x14ac:dyDescent="0.25">
      <c r="A48" s="274"/>
      <c r="B48" s="298" t="s">
        <v>22</v>
      </c>
      <c r="C48" s="215">
        <v>1</v>
      </c>
      <c r="D48" s="221">
        <v>13</v>
      </c>
      <c r="E48" s="229" t="s">
        <v>49</v>
      </c>
      <c r="F48" s="236" t="s">
        <v>31</v>
      </c>
      <c r="G48" s="229" t="s">
        <v>6</v>
      </c>
      <c r="H48" s="242" t="s">
        <v>604</v>
      </c>
      <c r="I48" s="250" t="s">
        <v>19</v>
      </c>
      <c r="J48" s="256">
        <f>1551500/1000</f>
        <v>1551.5</v>
      </c>
      <c r="K48" s="256">
        <f>708150/1000</f>
        <v>708.15</v>
      </c>
      <c r="L48" s="264">
        <f>200000/1000</f>
        <v>200</v>
      </c>
      <c r="M48" s="204"/>
    </row>
    <row r="49" spans="1:13" ht="37.5" customHeight="1" x14ac:dyDescent="0.25">
      <c r="A49" s="274"/>
      <c r="B49" s="309" t="s">
        <v>376</v>
      </c>
      <c r="C49" s="216">
        <v>1</v>
      </c>
      <c r="D49" s="222">
        <v>13</v>
      </c>
      <c r="E49" s="230" t="s">
        <v>49</v>
      </c>
      <c r="F49" s="237" t="s">
        <v>31</v>
      </c>
      <c r="G49" s="230" t="s">
        <v>6</v>
      </c>
      <c r="H49" s="243" t="s">
        <v>607</v>
      </c>
      <c r="I49" s="251" t="s">
        <v>1</v>
      </c>
      <c r="J49" s="257">
        <f>557000/1000</f>
        <v>557</v>
      </c>
      <c r="K49" s="257">
        <v>0</v>
      </c>
      <c r="L49" s="265">
        <v>0</v>
      </c>
      <c r="M49" s="204"/>
    </row>
    <row r="50" spans="1:13" ht="23.25" customHeight="1" x14ac:dyDescent="0.25">
      <c r="A50" s="274"/>
      <c r="B50" s="298" t="s">
        <v>605</v>
      </c>
      <c r="C50" s="215">
        <v>1</v>
      </c>
      <c r="D50" s="221">
        <v>13</v>
      </c>
      <c r="E50" s="229" t="s">
        <v>49</v>
      </c>
      <c r="F50" s="236" t="s">
        <v>31</v>
      </c>
      <c r="G50" s="229" t="s">
        <v>6</v>
      </c>
      <c r="H50" s="242" t="s">
        <v>607</v>
      </c>
      <c r="I50" s="250" t="s">
        <v>606</v>
      </c>
      <c r="J50" s="256">
        <f>557000/1000</f>
        <v>557</v>
      </c>
      <c r="K50" s="256">
        <v>0</v>
      </c>
      <c r="L50" s="264">
        <v>0</v>
      </c>
      <c r="M50" s="204"/>
    </row>
    <row r="51" spans="1:13" ht="36" customHeight="1" x14ac:dyDescent="0.25">
      <c r="A51" s="274"/>
      <c r="B51" s="309" t="s">
        <v>608</v>
      </c>
      <c r="C51" s="216">
        <v>1</v>
      </c>
      <c r="D51" s="222">
        <v>13</v>
      </c>
      <c r="E51" s="230" t="s">
        <v>49</v>
      </c>
      <c r="F51" s="237" t="s">
        <v>31</v>
      </c>
      <c r="G51" s="230" t="s">
        <v>6</v>
      </c>
      <c r="H51" s="243" t="s">
        <v>609</v>
      </c>
      <c r="I51" s="251" t="s">
        <v>1</v>
      </c>
      <c r="J51" s="257">
        <f>26000/1000</f>
        <v>26</v>
      </c>
      <c r="K51" s="257">
        <v>0</v>
      </c>
      <c r="L51" s="265">
        <v>0</v>
      </c>
      <c r="M51" s="204"/>
    </row>
    <row r="52" spans="1:13" ht="21.75" customHeight="1" x14ac:dyDescent="0.25">
      <c r="A52" s="274"/>
      <c r="B52" s="298" t="s">
        <v>605</v>
      </c>
      <c r="C52" s="215">
        <v>1</v>
      </c>
      <c r="D52" s="221">
        <v>13</v>
      </c>
      <c r="E52" s="229" t="s">
        <v>49</v>
      </c>
      <c r="F52" s="236" t="s">
        <v>31</v>
      </c>
      <c r="G52" s="229" t="s">
        <v>6</v>
      </c>
      <c r="H52" s="242" t="s">
        <v>609</v>
      </c>
      <c r="I52" s="250" t="s">
        <v>606</v>
      </c>
      <c r="J52" s="256">
        <f>26000/1000</f>
        <v>26</v>
      </c>
      <c r="K52" s="256">
        <v>0</v>
      </c>
      <c r="L52" s="264">
        <v>0</v>
      </c>
      <c r="M52" s="204"/>
    </row>
    <row r="53" spans="1:13" ht="21" customHeight="1" x14ac:dyDescent="0.25">
      <c r="A53" s="274"/>
      <c r="B53" s="309" t="s">
        <v>59</v>
      </c>
      <c r="C53" s="216">
        <v>1</v>
      </c>
      <c r="D53" s="222">
        <v>13</v>
      </c>
      <c r="E53" s="230" t="s">
        <v>49</v>
      </c>
      <c r="F53" s="237" t="s">
        <v>31</v>
      </c>
      <c r="G53" s="230" t="s">
        <v>6</v>
      </c>
      <c r="H53" s="243" t="s">
        <v>58</v>
      </c>
      <c r="I53" s="251" t="s">
        <v>1</v>
      </c>
      <c r="J53" s="257">
        <f t="shared" ref="J53:L54" si="8">6500/1000</f>
        <v>6.5</v>
      </c>
      <c r="K53" s="257">
        <f t="shared" si="8"/>
        <v>6.5</v>
      </c>
      <c r="L53" s="264">
        <f t="shared" si="8"/>
        <v>6.5</v>
      </c>
      <c r="M53" s="204"/>
    </row>
    <row r="54" spans="1:13" ht="22.5" customHeight="1" x14ac:dyDescent="0.25">
      <c r="A54" s="274"/>
      <c r="B54" s="298" t="s">
        <v>56</v>
      </c>
      <c r="C54" s="215">
        <v>1</v>
      </c>
      <c r="D54" s="221">
        <v>13</v>
      </c>
      <c r="E54" s="229" t="s">
        <v>49</v>
      </c>
      <c r="F54" s="236" t="s">
        <v>31</v>
      </c>
      <c r="G54" s="229" t="s">
        <v>6</v>
      </c>
      <c r="H54" s="242" t="s">
        <v>58</v>
      </c>
      <c r="I54" s="250" t="s">
        <v>54</v>
      </c>
      <c r="J54" s="256">
        <f t="shared" si="8"/>
        <v>6.5</v>
      </c>
      <c r="K54" s="256">
        <f t="shared" si="8"/>
        <v>6.5</v>
      </c>
      <c r="L54" s="264">
        <f t="shared" si="8"/>
        <v>6.5</v>
      </c>
      <c r="M54" s="204"/>
    </row>
    <row r="55" spans="1:13" ht="21.75" customHeight="1" x14ac:dyDescent="0.25">
      <c r="A55" s="274"/>
      <c r="B55" s="309" t="s">
        <v>57</v>
      </c>
      <c r="C55" s="216">
        <v>1</v>
      </c>
      <c r="D55" s="222">
        <v>13</v>
      </c>
      <c r="E55" s="230" t="s">
        <v>49</v>
      </c>
      <c r="F55" s="237" t="s">
        <v>31</v>
      </c>
      <c r="G55" s="230" t="s">
        <v>6</v>
      </c>
      <c r="H55" s="243" t="s">
        <v>55</v>
      </c>
      <c r="I55" s="251" t="s">
        <v>1</v>
      </c>
      <c r="J55" s="257">
        <f t="shared" ref="J55:L56" si="9">20000/1000</f>
        <v>20</v>
      </c>
      <c r="K55" s="257">
        <f t="shared" si="9"/>
        <v>20</v>
      </c>
      <c r="L55" s="265">
        <f t="shared" si="9"/>
        <v>20</v>
      </c>
      <c r="M55" s="204"/>
    </row>
    <row r="56" spans="1:13" ht="37.5" customHeight="1" x14ac:dyDescent="0.25">
      <c r="A56" s="274"/>
      <c r="B56" s="298" t="s">
        <v>22</v>
      </c>
      <c r="C56" s="215">
        <v>1</v>
      </c>
      <c r="D56" s="221">
        <v>13</v>
      </c>
      <c r="E56" s="229" t="s">
        <v>49</v>
      </c>
      <c r="F56" s="236" t="s">
        <v>31</v>
      </c>
      <c r="G56" s="229" t="s">
        <v>6</v>
      </c>
      <c r="H56" s="242" t="s">
        <v>55</v>
      </c>
      <c r="I56" s="250" t="s">
        <v>19</v>
      </c>
      <c r="J56" s="256">
        <f t="shared" si="9"/>
        <v>20</v>
      </c>
      <c r="K56" s="256">
        <f t="shared" si="9"/>
        <v>20</v>
      </c>
      <c r="L56" s="264">
        <f t="shared" si="9"/>
        <v>20</v>
      </c>
      <c r="M56" s="204"/>
    </row>
    <row r="57" spans="1:13" ht="21" customHeight="1" x14ac:dyDescent="0.25">
      <c r="A57" s="274"/>
      <c r="B57" s="309" t="s">
        <v>610</v>
      </c>
      <c r="C57" s="216">
        <v>1</v>
      </c>
      <c r="D57" s="222">
        <v>13</v>
      </c>
      <c r="E57" s="230" t="s">
        <v>49</v>
      </c>
      <c r="F57" s="237" t="s">
        <v>31</v>
      </c>
      <c r="G57" s="230" t="s">
        <v>6</v>
      </c>
      <c r="H57" s="243" t="s">
        <v>364</v>
      </c>
      <c r="I57" s="251" t="s">
        <v>1</v>
      </c>
      <c r="J57" s="257">
        <f t="shared" ref="J57:L58" si="10">557600/1000</f>
        <v>557.6</v>
      </c>
      <c r="K57" s="257">
        <f t="shared" si="10"/>
        <v>557.6</v>
      </c>
      <c r="L57" s="265">
        <f t="shared" si="10"/>
        <v>557.6</v>
      </c>
      <c r="M57" s="204"/>
    </row>
    <row r="58" spans="1:13" ht="15" customHeight="1" x14ac:dyDescent="0.25">
      <c r="A58" s="274"/>
      <c r="B58" s="298" t="s">
        <v>56</v>
      </c>
      <c r="C58" s="215">
        <v>1</v>
      </c>
      <c r="D58" s="221">
        <v>13</v>
      </c>
      <c r="E58" s="229" t="s">
        <v>49</v>
      </c>
      <c r="F58" s="236" t="s">
        <v>31</v>
      </c>
      <c r="G58" s="229" t="s">
        <v>6</v>
      </c>
      <c r="H58" s="242" t="s">
        <v>364</v>
      </c>
      <c r="I58" s="250" t="s">
        <v>54</v>
      </c>
      <c r="J58" s="256">
        <f t="shared" si="10"/>
        <v>557.6</v>
      </c>
      <c r="K58" s="256">
        <f t="shared" si="10"/>
        <v>557.6</v>
      </c>
      <c r="L58" s="264">
        <f t="shared" si="10"/>
        <v>557.6</v>
      </c>
      <c r="M58" s="204"/>
    </row>
    <row r="59" spans="1:13" ht="15" customHeight="1" x14ac:dyDescent="0.25">
      <c r="A59" s="274"/>
      <c r="B59" s="310" t="s">
        <v>53</v>
      </c>
      <c r="C59" s="217">
        <v>2</v>
      </c>
      <c r="D59" s="223" t="s">
        <v>1</v>
      </c>
      <c r="E59" s="231" t="s">
        <v>1</v>
      </c>
      <c r="F59" s="238" t="s">
        <v>1</v>
      </c>
      <c r="G59" s="231" t="s">
        <v>1</v>
      </c>
      <c r="H59" s="244" t="s">
        <v>1</v>
      </c>
      <c r="I59" s="252" t="s">
        <v>1</v>
      </c>
      <c r="J59" s="258">
        <f t="shared" ref="J59:J65" si="11">321300/1000</f>
        <v>321.3</v>
      </c>
      <c r="K59" s="258">
        <f t="shared" ref="K59:K65" si="12">336200/1000</f>
        <v>336.2</v>
      </c>
      <c r="L59" s="266">
        <f t="shared" ref="L59:L65" si="13">348400/1000</f>
        <v>348.4</v>
      </c>
      <c r="M59" s="204"/>
    </row>
    <row r="60" spans="1:13" ht="23.25" customHeight="1" x14ac:dyDescent="0.25">
      <c r="A60" s="274"/>
      <c r="B60" s="296" t="s">
        <v>52</v>
      </c>
      <c r="C60" s="213">
        <v>2</v>
      </c>
      <c r="D60" s="219">
        <v>3</v>
      </c>
      <c r="E60" s="227" t="s">
        <v>1</v>
      </c>
      <c r="F60" s="234" t="s">
        <v>1</v>
      </c>
      <c r="G60" s="227" t="s">
        <v>1</v>
      </c>
      <c r="H60" s="240" t="s">
        <v>1</v>
      </c>
      <c r="I60" s="248" t="s">
        <v>1</v>
      </c>
      <c r="J60" s="254">
        <f t="shared" si="11"/>
        <v>321.3</v>
      </c>
      <c r="K60" s="254">
        <f t="shared" si="12"/>
        <v>336.2</v>
      </c>
      <c r="L60" s="262">
        <f t="shared" si="13"/>
        <v>348.4</v>
      </c>
      <c r="M60" s="204"/>
    </row>
    <row r="61" spans="1:13" ht="48.75" customHeight="1" x14ac:dyDescent="0.25">
      <c r="A61" s="274"/>
      <c r="B61" s="297" t="s">
        <v>587</v>
      </c>
      <c r="C61" s="214">
        <v>2</v>
      </c>
      <c r="D61" s="220">
        <v>3</v>
      </c>
      <c r="E61" s="228" t="s">
        <v>49</v>
      </c>
      <c r="F61" s="235" t="s">
        <v>5</v>
      </c>
      <c r="G61" s="228" t="s">
        <v>4</v>
      </c>
      <c r="H61" s="241" t="s">
        <v>3</v>
      </c>
      <c r="I61" s="249" t="s">
        <v>1</v>
      </c>
      <c r="J61" s="255">
        <f t="shared" si="11"/>
        <v>321.3</v>
      </c>
      <c r="K61" s="255">
        <f t="shared" si="12"/>
        <v>336.2</v>
      </c>
      <c r="L61" s="263">
        <f t="shared" si="13"/>
        <v>348.4</v>
      </c>
      <c r="M61" s="204"/>
    </row>
    <row r="62" spans="1:13" ht="21.75" customHeight="1" x14ac:dyDescent="0.25">
      <c r="A62" s="274"/>
      <c r="B62" s="297" t="s">
        <v>588</v>
      </c>
      <c r="C62" s="214">
        <v>2</v>
      </c>
      <c r="D62" s="220">
        <v>3</v>
      </c>
      <c r="E62" s="228" t="s">
        <v>49</v>
      </c>
      <c r="F62" s="235" t="s">
        <v>31</v>
      </c>
      <c r="G62" s="228" t="s">
        <v>4</v>
      </c>
      <c r="H62" s="241" t="s">
        <v>3</v>
      </c>
      <c r="I62" s="249" t="s">
        <v>1</v>
      </c>
      <c r="J62" s="255">
        <f t="shared" si="11"/>
        <v>321.3</v>
      </c>
      <c r="K62" s="255">
        <f t="shared" si="12"/>
        <v>336.2</v>
      </c>
      <c r="L62" s="263">
        <f t="shared" si="13"/>
        <v>348.4</v>
      </c>
      <c r="M62" s="204"/>
    </row>
    <row r="63" spans="1:13" ht="39" customHeight="1" x14ac:dyDescent="0.25">
      <c r="A63" s="274"/>
      <c r="B63" s="297" t="s">
        <v>589</v>
      </c>
      <c r="C63" s="214">
        <v>2</v>
      </c>
      <c r="D63" s="220">
        <v>3</v>
      </c>
      <c r="E63" s="228" t="s">
        <v>49</v>
      </c>
      <c r="F63" s="235" t="s">
        <v>31</v>
      </c>
      <c r="G63" s="228" t="s">
        <v>6</v>
      </c>
      <c r="H63" s="241" t="s">
        <v>3</v>
      </c>
      <c r="I63" s="249" t="s">
        <v>1</v>
      </c>
      <c r="J63" s="255">
        <f t="shared" si="11"/>
        <v>321.3</v>
      </c>
      <c r="K63" s="255">
        <f t="shared" si="12"/>
        <v>336.2</v>
      </c>
      <c r="L63" s="263">
        <f t="shared" si="13"/>
        <v>348.4</v>
      </c>
      <c r="M63" s="204"/>
    </row>
    <row r="64" spans="1:13" ht="39" customHeight="1" x14ac:dyDescent="0.25">
      <c r="A64" s="274"/>
      <c r="B64" s="297" t="s">
        <v>611</v>
      </c>
      <c r="C64" s="214">
        <v>2</v>
      </c>
      <c r="D64" s="220">
        <v>3</v>
      </c>
      <c r="E64" s="228" t="s">
        <v>49</v>
      </c>
      <c r="F64" s="235" t="s">
        <v>31</v>
      </c>
      <c r="G64" s="228" t="s">
        <v>6</v>
      </c>
      <c r="H64" s="241" t="s">
        <v>47</v>
      </c>
      <c r="I64" s="249" t="s">
        <v>1</v>
      </c>
      <c r="J64" s="255">
        <f t="shared" si="11"/>
        <v>321.3</v>
      </c>
      <c r="K64" s="255">
        <f t="shared" si="12"/>
        <v>336.2</v>
      </c>
      <c r="L64" s="263">
        <f t="shared" si="13"/>
        <v>348.4</v>
      </c>
      <c r="M64" s="204"/>
    </row>
    <row r="65" spans="1:13" ht="34.5" customHeight="1" x14ac:dyDescent="0.25">
      <c r="A65" s="274"/>
      <c r="B65" s="298" t="s">
        <v>51</v>
      </c>
      <c r="C65" s="215">
        <v>2</v>
      </c>
      <c r="D65" s="221">
        <v>3</v>
      </c>
      <c r="E65" s="229" t="s">
        <v>49</v>
      </c>
      <c r="F65" s="236" t="s">
        <v>31</v>
      </c>
      <c r="G65" s="229" t="s">
        <v>6</v>
      </c>
      <c r="H65" s="242" t="s">
        <v>47</v>
      </c>
      <c r="I65" s="250" t="s">
        <v>50</v>
      </c>
      <c r="J65" s="256">
        <f t="shared" si="11"/>
        <v>321.3</v>
      </c>
      <c r="K65" s="256">
        <f t="shared" si="12"/>
        <v>336.2</v>
      </c>
      <c r="L65" s="264">
        <f t="shared" si="13"/>
        <v>348.4</v>
      </c>
      <c r="M65" s="204"/>
    </row>
    <row r="66" spans="1:13" ht="15" customHeight="1" x14ac:dyDescent="0.25">
      <c r="A66" s="274"/>
      <c r="B66" s="310" t="s">
        <v>46</v>
      </c>
      <c r="C66" s="217">
        <v>3</v>
      </c>
      <c r="D66" s="223" t="s">
        <v>1</v>
      </c>
      <c r="E66" s="231" t="s">
        <v>1</v>
      </c>
      <c r="F66" s="238" t="s">
        <v>1</v>
      </c>
      <c r="G66" s="231" t="s">
        <v>1</v>
      </c>
      <c r="H66" s="244" t="s">
        <v>1</v>
      </c>
      <c r="I66" s="252" t="s">
        <v>1</v>
      </c>
      <c r="J66" s="258">
        <f>398300/1000</f>
        <v>398.3</v>
      </c>
      <c r="K66" s="258">
        <f>399300/1000</f>
        <v>399.3</v>
      </c>
      <c r="L66" s="266">
        <f>399300/1000</f>
        <v>399.3</v>
      </c>
      <c r="M66" s="204"/>
    </row>
    <row r="67" spans="1:13" ht="15" customHeight="1" x14ac:dyDescent="0.25">
      <c r="A67" s="274"/>
      <c r="B67" s="296" t="s">
        <v>45</v>
      </c>
      <c r="C67" s="213">
        <v>3</v>
      </c>
      <c r="D67" s="219">
        <v>4</v>
      </c>
      <c r="E67" s="227" t="s">
        <v>1</v>
      </c>
      <c r="F67" s="234" t="s">
        <v>1</v>
      </c>
      <c r="G67" s="227" t="s">
        <v>1</v>
      </c>
      <c r="H67" s="240" t="s">
        <v>1</v>
      </c>
      <c r="I67" s="248" t="s">
        <v>1</v>
      </c>
      <c r="J67" s="254">
        <f>25900/1000</f>
        <v>25.9</v>
      </c>
      <c r="K67" s="407">
        <f>26900/1000</f>
        <v>26.9</v>
      </c>
      <c r="L67" s="262">
        <f>26900/1000</f>
        <v>26.9</v>
      </c>
      <c r="M67" s="204"/>
    </row>
    <row r="68" spans="1:13" ht="22.5" customHeight="1" x14ac:dyDescent="0.25">
      <c r="A68" s="274"/>
      <c r="B68" s="297" t="s">
        <v>320</v>
      </c>
      <c r="C68" s="214">
        <v>3</v>
      </c>
      <c r="D68" s="220">
        <v>4</v>
      </c>
      <c r="E68" s="228" t="s">
        <v>44</v>
      </c>
      <c r="F68" s="235" t="s">
        <v>5</v>
      </c>
      <c r="G68" s="228" t="s">
        <v>4</v>
      </c>
      <c r="H68" s="241" t="s">
        <v>3</v>
      </c>
      <c r="I68" s="249" t="s">
        <v>1</v>
      </c>
      <c r="J68" s="255">
        <f>25900/1000</f>
        <v>25.9</v>
      </c>
      <c r="K68" s="407">
        <f t="shared" ref="K68:K70" si="14">26900/1000</f>
        <v>26.9</v>
      </c>
      <c r="L68" s="263">
        <f>26900/1000</f>
        <v>26.9</v>
      </c>
      <c r="M68" s="204"/>
    </row>
    <row r="69" spans="1:13" ht="36.75" customHeight="1" x14ac:dyDescent="0.25">
      <c r="A69" s="274"/>
      <c r="B69" s="297" t="s">
        <v>612</v>
      </c>
      <c r="C69" s="214">
        <v>3</v>
      </c>
      <c r="D69" s="220">
        <v>4</v>
      </c>
      <c r="E69" s="228" t="s">
        <v>44</v>
      </c>
      <c r="F69" s="235" t="s">
        <v>5</v>
      </c>
      <c r="G69" s="228" t="s">
        <v>4</v>
      </c>
      <c r="H69" s="241" t="s">
        <v>613</v>
      </c>
      <c r="I69" s="249" t="s">
        <v>1</v>
      </c>
      <c r="J69" s="255">
        <f>25900/1000</f>
        <v>25.9</v>
      </c>
      <c r="K69" s="407">
        <f t="shared" si="14"/>
        <v>26.9</v>
      </c>
      <c r="L69" s="263">
        <f>26900/1000</f>
        <v>26.9</v>
      </c>
      <c r="M69" s="204"/>
    </row>
    <row r="70" spans="1:13" ht="32.25" customHeight="1" x14ac:dyDescent="0.25">
      <c r="A70" s="274"/>
      <c r="B70" s="298" t="s">
        <v>22</v>
      </c>
      <c r="C70" s="215">
        <v>3</v>
      </c>
      <c r="D70" s="221">
        <v>4</v>
      </c>
      <c r="E70" s="229" t="s">
        <v>44</v>
      </c>
      <c r="F70" s="236" t="s">
        <v>5</v>
      </c>
      <c r="G70" s="229" t="s">
        <v>4</v>
      </c>
      <c r="H70" s="242" t="s">
        <v>613</v>
      </c>
      <c r="I70" s="250" t="s">
        <v>19</v>
      </c>
      <c r="J70" s="256">
        <f>25900/1000</f>
        <v>25.9</v>
      </c>
      <c r="K70" s="407">
        <f t="shared" si="14"/>
        <v>26.9</v>
      </c>
      <c r="L70" s="264">
        <f>26900/1000</f>
        <v>26.9</v>
      </c>
      <c r="M70" s="204"/>
    </row>
    <row r="71" spans="1:13" ht="43.5" customHeight="1" x14ac:dyDescent="0.25">
      <c r="A71" s="274"/>
      <c r="B71" s="299" t="s">
        <v>383</v>
      </c>
      <c r="C71" s="300">
        <v>3</v>
      </c>
      <c r="D71" s="301">
        <v>10</v>
      </c>
      <c r="E71" s="302" t="s">
        <v>1</v>
      </c>
      <c r="F71" s="303" t="s">
        <v>1</v>
      </c>
      <c r="G71" s="302" t="s">
        <v>1</v>
      </c>
      <c r="H71" s="304" t="s">
        <v>1</v>
      </c>
      <c r="I71" s="305" t="s">
        <v>1</v>
      </c>
      <c r="J71" s="306">
        <f t="shared" ref="J71:L73" si="15">372400/1000</f>
        <v>372.4</v>
      </c>
      <c r="K71" s="306">
        <f t="shared" si="15"/>
        <v>372.4</v>
      </c>
      <c r="L71" s="307">
        <f t="shared" si="15"/>
        <v>372.4</v>
      </c>
      <c r="M71" s="204"/>
    </row>
    <row r="72" spans="1:13" ht="61.5" customHeight="1" x14ac:dyDescent="0.25">
      <c r="A72" s="274"/>
      <c r="B72" s="297" t="s">
        <v>614</v>
      </c>
      <c r="C72" s="214">
        <v>3</v>
      </c>
      <c r="D72" s="220">
        <v>10</v>
      </c>
      <c r="E72" s="228" t="s">
        <v>7</v>
      </c>
      <c r="F72" s="235" t="s">
        <v>5</v>
      </c>
      <c r="G72" s="228" t="s">
        <v>4</v>
      </c>
      <c r="H72" s="241" t="s">
        <v>3</v>
      </c>
      <c r="I72" s="249" t="s">
        <v>1</v>
      </c>
      <c r="J72" s="255">
        <f t="shared" si="15"/>
        <v>372.4</v>
      </c>
      <c r="K72" s="255">
        <f t="shared" si="15"/>
        <v>372.4</v>
      </c>
      <c r="L72" s="263">
        <f t="shared" si="15"/>
        <v>372.4</v>
      </c>
      <c r="M72" s="204"/>
    </row>
    <row r="73" spans="1:13" ht="22.5" customHeight="1" x14ac:dyDescent="0.25">
      <c r="A73" s="274"/>
      <c r="B73" s="297" t="s">
        <v>588</v>
      </c>
      <c r="C73" s="214">
        <v>3</v>
      </c>
      <c r="D73" s="220">
        <v>10</v>
      </c>
      <c r="E73" s="228" t="s">
        <v>7</v>
      </c>
      <c r="F73" s="235" t="s">
        <v>31</v>
      </c>
      <c r="G73" s="228" t="s">
        <v>4</v>
      </c>
      <c r="H73" s="241" t="s">
        <v>3</v>
      </c>
      <c r="I73" s="249" t="s">
        <v>1</v>
      </c>
      <c r="J73" s="255">
        <f t="shared" si="15"/>
        <v>372.4</v>
      </c>
      <c r="K73" s="255">
        <f t="shared" si="15"/>
        <v>372.4</v>
      </c>
      <c r="L73" s="263">
        <f t="shared" si="15"/>
        <v>372.4</v>
      </c>
      <c r="M73" s="204"/>
    </row>
    <row r="74" spans="1:13" ht="23.25" customHeight="1" x14ac:dyDescent="0.25">
      <c r="A74" s="274"/>
      <c r="B74" s="297" t="s">
        <v>615</v>
      </c>
      <c r="C74" s="214">
        <v>3</v>
      </c>
      <c r="D74" s="220">
        <v>10</v>
      </c>
      <c r="E74" s="228" t="s">
        <v>7</v>
      </c>
      <c r="F74" s="235" t="s">
        <v>31</v>
      </c>
      <c r="G74" s="228" t="s">
        <v>616</v>
      </c>
      <c r="H74" s="241" t="s">
        <v>3</v>
      </c>
      <c r="I74" s="249" t="s">
        <v>1</v>
      </c>
      <c r="J74" s="255">
        <f t="shared" ref="J74:K76" si="16">372400/1000</f>
        <v>372.4</v>
      </c>
      <c r="K74" s="255">
        <f t="shared" si="16"/>
        <v>372.4</v>
      </c>
      <c r="L74" s="263">
        <f t="shared" ref="L74:L76" si="17">372400/1000</f>
        <v>372.4</v>
      </c>
      <c r="M74" s="204"/>
    </row>
    <row r="75" spans="1:13" ht="37.5" customHeight="1" x14ac:dyDescent="0.25">
      <c r="A75" s="274"/>
      <c r="B75" s="297" t="s">
        <v>43</v>
      </c>
      <c r="C75" s="214">
        <v>3</v>
      </c>
      <c r="D75" s="220">
        <v>10</v>
      </c>
      <c r="E75" s="228" t="s">
        <v>7</v>
      </c>
      <c r="F75" s="235" t="s">
        <v>31</v>
      </c>
      <c r="G75" s="228" t="s">
        <v>616</v>
      </c>
      <c r="H75" s="241" t="s">
        <v>42</v>
      </c>
      <c r="I75" s="249" t="s">
        <v>1</v>
      </c>
      <c r="J75" s="255">
        <f t="shared" si="16"/>
        <v>372.4</v>
      </c>
      <c r="K75" s="255">
        <f t="shared" si="16"/>
        <v>372.4</v>
      </c>
      <c r="L75" s="263">
        <f t="shared" si="17"/>
        <v>372.4</v>
      </c>
      <c r="M75" s="204"/>
    </row>
    <row r="76" spans="1:13" ht="37.5" customHeight="1" x14ac:dyDescent="0.25">
      <c r="A76" s="274"/>
      <c r="B76" s="298" t="s">
        <v>22</v>
      </c>
      <c r="C76" s="215">
        <v>3</v>
      </c>
      <c r="D76" s="221">
        <v>10</v>
      </c>
      <c r="E76" s="229" t="s">
        <v>7</v>
      </c>
      <c r="F76" s="236" t="s">
        <v>31</v>
      </c>
      <c r="G76" s="229" t="s">
        <v>616</v>
      </c>
      <c r="H76" s="242" t="s">
        <v>42</v>
      </c>
      <c r="I76" s="250" t="s">
        <v>19</v>
      </c>
      <c r="J76" s="256">
        <f t="shared" si="16"/>
        <v>372.4</v>
      </c>
      <c r="K76" s="256">
        <f t="shared" si="16"/>
        <v>372.4</v>
      </c>
      <c r="L76" s="264">
        <f t="shared" si="17"/>
        <v>372.4</v>
      </c>
      <c r="M76" s="204"/>
    </row>
    <row r="77" spans="1:13" ht="27.75" customHeight="1" x14ac:dyDescent="0.25">
      <c r="A77" s="274"/>
      <c r="B77" s="310" t="s">
        <v>41</v>
      </c>
      <c r="C77" s="217">
        <v>4</v>
      </c>
      <c r="D77" s="223" t="s">
        <v>1</v>
      </c>
      <c r="E77" s="231" t="s">
        <v>1</v>
      </c>
      <c r="F77" s="238" t="s">
        <v>1</v>
      </c>
      <c r="G77" s="231" t="s">
        <v>1</v>
      </c>
      <c r="H77" s="244" t="s">
        <v>1</v>
      </c>
      <c r="I77" s="252" t="s">
        <v>1</v>
      </c>
      <c r="J77" s="258">
        <f>2744520/1000</f>
        <v>2744.52</v>
      </c>
      <c r="K77" s="258">
        <f>2672260/1000</f>
        <v>2672.26</v>
      </c>
      <c r="L77" s="266">
        <f>2994330/1000</f>
        <v>2994.33</v>
      </c>
      <c r="M77" s="204"/>
    </row>
    <row r="78" spans="1:13" ht="15" customHeight="1" x14ac:dyDescent="0.25">
      <c r="A78" s="274"/>
      <c r="B78" s="296" t="s">
        <v>40</v>
      </c>
      <c r="C78" s="213">
        <v>4</v>
      </c>
      <c r="D78" s="219">
        <v>9</v>
      </c>
      <c r="E78" s="227" t="s">
        <v>1</v>
      </c>
      <c r="F78" s="234" t="s">
        <v>1</v>
      </c>
      <c r="G78" s="227" t="s">
        <v>1</v>
      </c>
      <c r="H78" s="240" t="s">
        <v>1</v>
      </c>
      <c r="I78" s="248" t="s">
        <v>1</v>
      </c>
      <c r="J78" s="254">
        <f>2484520/1000</f>
        <v>2484.52</v>
      </c>
      <c r="K78" s="254">
        <f>2612260/1000</f>
        <v>2612.2600000000002</v>
      </c>
      <c r="L78" s="262">
        <f>2734330/1000</f>
        <v>2734.33</v>
      </c>
      <c r="M78" s="204"/>
    </row>
    <row r="79" spans="1:13" ht="65.25" customHeight="1" x14ac:dyDescent="0.25">
      <c r="A79" s="274"/>
      <c r="B79" s="297" t="s">
        <v>614</v>
      </c>
      <c r="C79" s="214">
        <v>4</v>
      </c>
      <c r="D79" s="220">
        <v>9</v>
      </c>
      <c r="E79" s="228" t="s">
        <v>7</v>
      </c>
      <c r="F79" s="235" t="s">
        <v>5</v>
      </c>
      <c r="G79" s="228" t="s">
        <v>4</v>
      </c>
      <c r="H79" s="241" t="s">
        <v>3</v>
      </c>
      <c r="I79" s="249" t="s">
        <v>1</v>
      </c>
      <c r="J79" s="255">
        <f>2484520/1000</f>
        <v>2484.52</v>
      </c>
      <c r="K79" s="255">
        <f>2612260/1000</f>
        <v>2612.2600000000002</v>
      </c>
      <c r="L79" s="263">
        <f>2734330/1000</f>
        <v>2734.33</v>
      </c>
      <c r="M79" s="204"/>
    </row>
    <row r="80" spans="1:13" ht="24" customHeight="1" x14ac:dyDescent="0.25">
      <c r="A80" s="274"/>
      <c r="B80" s="297" t="s">
        <v>588</v>
      </c>
      <c r="C80" s="214">
        <v>4</v>
      </c>
      <c r="D80" s="220">
        <v>9</v>
      </c>
      <c r="E80" s="228" t="s">
        <v>7</v>
      </c>
      <c r="F80" s="235" t="s">
        <v>31</v>
      </c>
      <c r="G80" s="228" t="s">
        <v>4</v>
      </c>
      <c r="H80" s="241" t="s">
        <v>3</v>
      </c>
      <c r="I80" s="249" t="s">
        <v>1</v>
      </c>
      <c r="J80" s="255">
        <f>2484520/1000</f>
        <v>2484.52</v>
      </c>
      <c r="K80" s="255">
        <f>2612260/1000</f>
        <v>2612.2600000000002</v>
      </c>
      <c r="L80" s="263">
        <f>2734330/1000</f>
        <v>2734.33</v>
      </c>
      <c r="M80" s="204"/>
    </row>
    <row r="81" spans="1:13" ht="21.75" customHeight="1" x14ac:dyDescent="0.25">
      <c r="A81" s="274"/>
      <c r="B81" s="297" t="s">
        <v>617</v>
      </c>
      <c r="C81" s="214">
        <v>4</v>
      </c>
      <c r="D81" s="220">
        <v>9</v>
      </c>
      <c r="E81" s="228" t="s">
        <v>7</v>
      </c>
      <c r="F81" s="235" t="s">
        <v>31</v>
      </c>
      <c r="G81" s="228" t="s">
        <v>30</v>
      </c>
      <c r="H81" s="241" t="s">
        <v>3</v>
      </c>
      <c r="I81" s="249" t="s">
        <v>1</v>
      </c>
      <c r="J81" s="255">
        <f t="shared" ref="J81:L83" si="18">1114520/1000</f>
        <v>1114.52</v>
      </c>
      <c r="K81" s="255">
        <f t="shared" si="18"/>
        <v>1114.52</v>
      </c>
      <c r="L81" s="263">
        <f t="shared" si="18"/>
        <v>1114.52</v>
      </c>
      <c r="M81" s="204"/>
    </row>
    <row r="82" spans="1:13" ht="33.75" customHeight="1" x14ac:dyDescent="0.25">
      <c r="A82" s="274"/>
      <c r="B82" s="297" t="s">
        <v>38</v>
      </c>
      <c r="C82" s="214">
        <v>4</v>
      </c>
      <c r="D82" s="220">
        <v>9</v>
      </c>
      <c r="E82" s="228" t="s">
        <v>7</v>
      </c>
      <c r="F82" s="235" t="s">
        <v>31</v>
      </c>
      <c r="G82" s="228" t="s">
        <v>30</v>
      </c>
      <c r="H82" s="241" t="s">
        <v>36</v>
      </c>
      <c r="I82" s="249" t="s">
        <v>1</v>
      </c>
      <c r="J82" s="255">
        <f t="shared" si="18"/>
        <v>1114.52</v>
      </c>
      <c r="K82" s="255">
        <f t="shared" si="18"/>
        <v>1114.52</v>
      </c>
      <c r="L82" s="263">
        <f t="shared" si="18"/>
        <v>1114.52</v>
      </c>
      <c r="M82" s="204"/>
    </row>
    <row r="83" spans="1:13" ht="34.5" customHeight="1" x14ac:dyDescent="0.25">
      <c r="A83" s="274"/>
      <c r="B83" s="298" t="s">
        <v>22</v>
      </c>
      <c r="C83" s="215">
        <v>4</v>
      </c>
      <c r="D83" s="221">
        <v>9</v>
      </c>
      <c r="E83" s="229" t="s">
        <v>7</v>
      </c>
      <c r="F83" s="236" t="s">
        <v>31</v>
      </c>
      <c r="G83" s="229" t="s">
        <v>30</v>
      </c>
      <c r="H83" s="242" t="s">
        <v>36</v>
      </c>
      <c r="I83" s="250" t="s">
        <v>19</v>
      </c>
      <c r="J83" s="256">
        <f t="shared" si="18"/>
        <v>1114.52</v>
      </c>
      <c r="K83" s="256">
        <f t="shared" si="18"/>
        <v>1114.52</v>
      </c>
      <c r="L83" s="264">
        <f t="shared" si="18"/>
        <v>1114.52</v>
      </c>
      <c r="M83" s="204"/>
    </row>
    <row r="84" spans="1:13" ht="39" customHeight="1" x14ac:dyDescent="0.25">
      <c r="A84" s="274"/>
      <c r="B84" s="309" t="s">
        <v>618</v>
      </c>
      <c r="C84" s="216">
        <v>4</v>
      </c>
      <c r="D84" s="222">
        <v>9</v>
      </c>
      <c r="E84" s="230" t="s">
        <v>7</v>
      </c>
      <c r="F84" s="237" t="s">
        <v>31</v>
      </c>
      <c r="G84" s="230" t="s">
        <v>37</v>
      </c>
      <c r="H84" s="243" t="s">
        <v>3</v>
      </c>
      <c r="I84" s="251" t="s">
        <v>1</v>
      </c>
      <c r="J84" s="257">
        <f>1370000/1000</f>
        <v>1370</v>
      </c>
      <c r="K84" s="257">
        <f>1497740/1000</f>
        <v>1497.74</v>
      </c>
      <c r="L84" s="265">
        <f>1619810/1000</f>
        <v>1619.81</v>
      </c>
      <c r="M84" s="204"/>
    </row>
    <row r="85" spans="1:13" ht="21.75" customHeight="1" x14ac:dyDescent="0.25">
      <c r="A85" s="274"/>
      <c r="B85" s="297" t="s">
        <v>23</v>
      </c>
      <c r="C85" s="214">
        <v>4</v>
      </c>
      <c r="D85" s="220">
        <v>9</v>
      </c>
      <c r="E85" s="228" t="s">
        <v>7</v>
      </c>
      <c r="F85" s="235" t="s">
        <v>31</v>
      </c>
      <c r="G85" s="228" t="s">
        <v>37</v>
      </c>
      <c r="H85" s="241" t="s">
        <v>20</v>
      </c>
      <c r="I85" s="249" t="s">
        <v>1</v>
      </c>
      <c r="J85" s="255">
        <f>1370000/1000</f>
        <v>1370</v>
      </c>
      <c r="K85" s="255">
        <f>1497740/1000</f>
        <v>1497.74</v>
      </c>
      <c r="L85" s="263">
        <f>1619810/1000</f>
        <v>1619.81</v>
      </c>
      <c r="M85" s="204"/>
    </row>
    <row r="86" spans="1:13" ht="15" customHeight="1" x14ac:dyDescent="0.25">
      <c r="A86" s="274"/>
      <c r="B86" s="298" t="s">
        <v>22</v>
      </c>
      <c r="C86" s="215">
        <v>4</v>
      </c>
      <c r="D86" s="221">
        <v>9</v>
      </c>
      <c r="E86" s="229" t="s">
        <v>7</v>
      </c>
      <c r="F86" s="236" t="s">
        <v>31</v>
      </c>
      <c r="G86" s="229" t="s">
        <v>37</v>
      </c>
      <c r="H86" s="242" t="s">
        <v>20</v>
      </c>
      <c r="I86" s="250" t="s">
        <v>19</v>
      </c>
      <c r="J86" s="256">
        <f>1370000/1000</f>
        <v>1370</v>
      </c>
      <c r="K86" s="256">
        <f>1497740/1000</f>
        <v>1497.74</v>
      </c>
      <c r="L86" s="264">
        <f>1619810/1000</f>
        <v>1619.81</v>
      </c>
      <c r="M86" s="204"/>
    </row>
    <row r="87" spans="1:13" ht="15" customHeight="1" x14ac:dyDescent="0.25">
      <c r="A87" s="274"/>
      <c r="B87" s="299" t="s">
        <v>35</v>
      </c>
      <c r="C87" s="300">
        <v>4</v>
      </c>
      <c r="D87" s="301">
        <v>12</v>
      </c>
      <c r="E87" s="302" t="s">
        <v>1</v>
      </c>
      <c r="F87" s="303" t="s">
        <v>1</v>
      </c>
      <c r="G87" s="302" t="s">
        <v>1</v>
      </c>
      <c r="H87" s="304" t="s">
        <v>1</v>
      </c>
      <c r="I87" s="305" t="s">
        <v>1</v>
      </c>
      <c r="J87" s="306">
        <f t="shared" ref="J87:J92" si="19">260000/1000</f>
        <v>260</v>
      </c>
      <c r="K87" s="407">
        <f>60000/1000</f>
        <v>60</v>
      </c>
      <c r="L87" s="307">
        <f>260000/1000</f>
        <v>260</v>
      </c>
      <c r="M87" s="204"/>
    </row>
    <row r="88" spans="1:13" ht="68.25" customHeight="1" x14ac:dyDescent="0.25">
      <c r="A88" s="274"/>
      <c r="B88" s="297" t="s">
        <v>614</v>
      </c>
      <c r="C88" s="214">
        <v>4</v>
      </c>
      <c r="D88" s="220">
        <v>12</v>
      </c>
      <c r="E88" s="228" t="s">
        <v>7</v>
      </c>
      <c r="F88" s="235" t="s">
        <v>5</v>
      </c>
      <c r="G88" s="228" t="s">
        <v>4</v>
      </c>
      <c r="H88" s="241" t="s">
        <v>3</v>
      </c>
      <c r="I88" s="249" t="s">
        <v>1</v>
      </c>
      <c r="J88" s="255">
        <f t="shared" si="19"/>
        <v>260</v>
      </c>
      <c r="K88" s="406">
        <f t="shared" ref="K88:K92" si="20">60000/1000</f>
        <v>60</v>
      </c>
      <c r="L88" s="263">
        <f>260000/1000</f>
        <v>260</v>
      </c>
      <c r="M88" s="204"/>
    </row>
    <row r="89" spans="1:13" ht="15" customHeight="1" x14ac:dyDescent="0.25">
      <c r="A89" s="274"/>
      <c r="B89" s="297" t="s">
        <v>588</v>
      </c>
      <c r="C89" s="214">
        <v>4</v>
      </c>
      <c r="D89" s="220">
        <v>12</v>
      </c>
      <c r="E89" s="228" t="s">
        <v>7</v>
      </c>
      <c r="F89" s="235" t="s">
        <v>31</v>
      </c>
      <c r="G89" s="228" t="s">
        <v>4</v>
      </c>
      <c r="H89" s="241" t="s">
        <v>3</v>
      </c>
      <c r="I89" s="249" t="s">
        <v>1</v>
      </c>
      <c r="J89" s="255">
        <f t="shared" si="19"/>
        <v>260</v>
      </c>
      <c r="K89" s="306">
        <f t="shared" si="20"/>
        <v>60</v>
      </c>
      <c r="L89" s="263">
        <f>260000/1000</f>
        <v>260</v>
      </c>
      <c r="M89" s="204"/>
    </row>
    <row r="90" spans="1:13" ht="29.25" customHeight="1" x14ac:dyDescent="0.25">
      <c r="A90" s="274"/>
      <c r="B90" s="297" t="s">
        <v>619</v>
      </c>
      <c r="C90" s="214">
        <v>4</v>
      </c>
      <c r="D90" s="220">
        <v>12</v>
      </c>
      <c r="E90" s="228" t="s">
        <v>7</v>
      </c>
      <c r="F90" s="235" t="s">
        <v>31</v>
      </c>
      <c r="G90" s="228" t="s">
        <v>6</v>
      </c>
      <c r="H90" s="241" t="s">
        <v>3</v>
      </c>
      <c r="I90" s="249" t="s">
        <v>1</v>
      </c>
      <c r="J90" s="255">
        <f t="shared" si="19"/>
        <v>260</v>
      </c>
      <c r="K90" s="406">
        <f t="shared" si="20"/>
        <v>60</v>
      </c>
      <c r="L90" s="263">
        <f>260000/1000</f>
        <v>260</v>
      </c>
      <c r="M90" s="204"/>
    </row>
    <row r="91" spans="1:13" ht="29.25" customHeight="1" x14ac:dyDescent="0.25">
      <c r="A91" s="274"/>
      <c r="B91" s="297" t="s">
        <v>620</v>
      </c>
      <c r="C91" s="214">
        <v>4</v>
      </c>
      <c r="D91" s="220">
        <v>12</v>
      </c>
      <c r="E91" s="228" t="s">
        <v>7</v>
      </c>
      <c r="F91" s="235" t="s">
        <v>31</v>
      </c>
      <c r="G91" s="228" t="s">
        <v>6</v>
      </c>
      <c r="H91" s="241" t="s">
        <v>621</v>
      </c>
      <c r="I91" s="249" t="s">
        <v>1</v>
      </c>
      <c r="J91" s="255">
        <f t="shared" si="19"/>
        <v>260</v>
      </c>
      <c r="K91" s="407">
        <f t="shared" si="20"/>
        <v>60</v>
      </c>
      <c r="L91" s="263">
        <f t="shared" ref="L91:L92" si="21">260000/1000</f>
        <v>260</v>
      </c>
      <c r="M91" s="204"/>
    </row>
    <row r="92" spans="1:13" ht="29.25" customHeight="1" x14ac:dyDescent="0.25">
      <c r="A92" s="274"/>
      <c r="B92" s="298" t="s">
        <v>22</v>
      </c>
      <c r="C92" s="215">
        <v>4</v>
      </c>
      <c r="D92" s="221">
        <v>12</v>
      </c>
      <c r="E92" s="229" t="s">
        <v>7</v>
      </c>
      <c r="F92" s="236" t="s">
        <v>31</v>
      </c>
      <c r="G92" s="229" t="s">
        <v>6</v>
      </c>
      <c r="H92" s="242" t="s">
        <v>621</v>
      </c>
      <c r="I92" s="250" t="s">
        <v>19</v>
      </c>
      <c r="J92" s="256">
        <f t="shared" si="19"/>
        <v>260</v>
      </c>
      <c r="K92" s="407">
        <f t="shared" si="20"/>
        <v>60</v>
      </c>
      <c r="L92" s="264">
        <f t="shared" si="21"/>
        <v>260</v>
      </c>
      <c r="M92" s="204"/>
    </row>
    <row r="93" spans="1:13" ht="23.25" customHeight="1" x14ac:dyDescent="0.25">
      <c r="A93" s="274"/>
      <c r="B93" s="310" t="s">
        <v>34</v>
      </c>
      <c r="C93" s="217">
        <v>5</v>
      </c>
      <c r="D93" s="223" t="s">
        <v>1</v>
      </c>
      <c r="E93" s="231" t="s">
        <v>1</v>
      </c>
      <c r="F93" s="238" t="s">
        <v>1</v>
      </c>
      <c r="G93" s="231" t="s">
        <v>1</v>
      </c>
      <c r="H93" s="244" t="s">
        <v>1</v>
      </c>
      <c r="I93" s="252" t="s">
        <v>1</v>
      </c>
      <c r="J93" s="258">
        <f>3178750/1000</f>
        <v>3178.75</v>
      </c>
      <c r="K93" s="258">
        <f>2294367.05/1000</f>
        <v>2294.3670499999998</v>
      </c>
      <c r="L93" s="266">
        <f>2486317.08/1000</f>
        <v>2486.3170800000003</v>
      </c>
      <c r="M93" s="204"/>
    </row>
    <row r="94" spans="1:13" ht="20.25" customHeight="1" x14ac:dyDescent="0.25">
      <c r="A94" s="274"/>
      <c r="B94" s="296" t="s">
        <v>33</v>
      </c>
      <c r="C94" s="213">
        <v>5</v>
      </c>
      <c r="D94" s="219">
        <v>1</v>
      </c>
      <c r="E94" s="227" t="s">
        <v>1</v>
      </c>
      <c r="F94" s="234" t="s">
        <v>1</v>
      </c>
      <c r="G94" s="227" t="s">
        <v>1</v>
      </c>
      <c r="H94" s="240" t="s">
        <v>1</v>
      </c>
      <c r="I94" s="248" t="s">
        <v>1</v>
      </c>
      <c r="J94" s="254">
        <f>4800/1000</f>
        <v>4.8</v>
      </c>
      <c r="K94" s="407">
        <f>4800/1000</f>
        <v>4.8</v>
      </c>
      <c r="L94" s="262">
        <f>4800/1000</f>
        <v>4.8</v>
      </c>
      <c r="M94" s="204"/>
    </row>
    <row r="95" spans="1:13" ht="66" customHeight="1" x14ac:dyDescent="0.25">
      <c r="A95" s="274"/>
      <c r="B95" s="297" t="s">
        <v>614</v>
      </c>
      <c r="C95" s="214">
        <v>5</v>
      </c>
      <c r="D95" s="220">
        <v>1</v>
      </c>
      <c r="E95" s="228" t="s">
        <v>7</v>
      </c>
      <c r="F95" s="235" t="s">
        <v>5</v>
      </c>
      <c r="G95" s="228" t="s">
        <v>4</v>
      </c>
      <c r="H95" s="241" t="s">
        <v>3</v>
      </c>
      <c r="I95" s="249" t="s">
        <v>1</v>
      </c>
      <c r="J95" s="255">
        <f>4800/1000</f>
        <v>4.8</v>
      </c>
      <c r="K95" s="407">
        <f t="shared" ref="K95:L99" si="22">4800/1000</f>
        <v>4.8</v>
      </c>
      <c r="L95" s="262">
        <f t="shared" si="22"/>
        <v>4.8</v>
      </c>
      <c r="M95" s="204"/>
    </row>
    <row r="96" spans="1:13" ht="23.25" customHeight="1" x14ac:dyDescent="0.25">
      <c r="A96" s="274"/>
      <c r="B96" s="297" t="s">
        <v>588</v>
      </c>
      <c r="C96" s="214">
        <v>5</v>
      </c>
      <c r="D96" s="220">
        <v>1</v>
      </c>
      <c r="E96" s="228" t="s">
        <v>7</v>
      </c>
      <c r="F96" s="235" t="s">
        <v>31</v>
      </c>
      <c r="G96" s="228" t="s">
        <v>4</v>
      </c>
      <c r="H96" s="241" t="s">
        <v>3</v>
      </c>
      <c r="I96" s="249" t="s">
        <v>1</v>
      </c>
      <c r="J96" s="255">
        <f>4800/1000</f>
        <v>4.8</v>
      </c>
      <c r="K96" s="407">
        <f t="shared" si="22"/>
        <v>4.8</v>
      </c>
      <c r="L96" s="262">
        <f t="shared" si="22"/>
        <v>4.8</v>
      </c>
      <c r="M96" s="204"/>
    </row>
    <row r="97" spans="1:13" ht="19.5" customHeight="1" x14ac:dyDescent="0.25">
      <c r="A97" s="274"/>
      <c r="B97" s="297" t="s">
        <v>622</v>
      </c>
      <c r="C97" s="214">
        <v>5</v>
      </c>
      <c r="D97" s="220">
        <v>1</v>
      </c>
      <c r="E97" s="228" t="s">
        <v>7</v>
      </c>
      <c r="F97" s="235" t="s">
        <v>31</v>
      </c>
      <c r="G97" s="228" t="s">
        <v>21</v>
      </c>
      <c r="H97" s="241" t="s">
        <v>3</v>
      </c>
      <c r="I97" s="249" t="s">
        <v>1</v>
      </c>
      <c r="J97" s="255">
        <f>4800/1000</f>
        <v>4.8</v>
      </c>
      <c r="K97" s="407">
        <f t="shared" si="22"/>
        <v>4.8</v>
      </c>
      <c r="L97" s="262">
        <f t="shared" si="22"/>
        <v>4.8</v>
      </c>
      <c r="M97" s="204"/>
    </row>
    <row r="98" spans="1:13" ht="60" customHeight="1" x14ac:dyDescent="0.25">
      <c r="A98" s="274"/>
      <c r="B98" s="297" t="s">
        <v>32</v>
      </c>
      <c r="C98" s="214">
        <v>5</v>
      </c>
      <c r="D98" s="220">
        <v>1</v>
      </c>
      <c r="E98" s="228" t="s">
        <v>7</v>
      </c>
      <c r="F98" s="235" t="s">
        <v>31</v>
      </c>
      <c r="G98" s="228" t="s">
        <v>21</v>
      </c>
      <c r="H98" s="241" t="s">
        <v>29</v>
      </c>
      <c r="I98" s="249" t="s">
        <v>1</v>
      </c>
      <c r="J98" s="255">
        <f>4800/1000</f>
        <v>4.8</v>
      </c>
      <c r="K98" s="407">
        <f t="shared" si="22"/>
        <v>4.8</v>
      </c>
      <c r="L98" s="262">
        <f t="shared" si="22"/>
        <v>4.8</v>
      </c>
      <c r="M98" s="204"/>
    </row>
    <row r="99" spans="1:13" ht="15" customHeight="1" x14ac:dyDescent="0.25">
      <c r="A99" s="274"/>
      <c r="B99" s="298" t="s">
        <v>22</v>
      </c>
      <c r="C99" s="215">
        <v>5</v>
      </c>
      <c r="D99" s="221">
        <v>1</v>
      </c>
      <c r="E99" s="229" t="s">
        <v>7</v>
      </c>
      <c r="F99" s="236" t="s">
        <v>31</v>
      </c>
      <c r="G99" s="229" t="s">
        <v>21</v>
      </c>
      <c r="H99" s="242" t="s">
        <v>29</v>
      </c>
      <c r="I99" s="250" t="s">
        <v>19</v>
      </c>
      <c r="J99" s="256">
        <f>4800/1000</f>
        <v>4.8</v>
      </c>
      <c r="K99" s="407">
        <f t="shared" si="22"/>
        <v>4.8</v>
      </c>
      <c r="L99" s="409">
        <f t="shared" si="22"/>
        <v>4.8</v>
      </c>
      <c r="M99" s="204"/>
    </row>
    <row r="100" spans="1:13" ht="21" customHeight="1" x14ac:dyDescent="0.25">
      <c r="A100" s="274"/>
      <c r="B100" s="299" t="s">
        <v>28</v>
      </c>
      <c r="C100" s="300">
        <v>5</v>
      </c>
      <c r="D100" s="301">
        <v>2</v>
      </c>
      <c r="E100" s="302" t="s">
        <v>1</v>
      </c>
      <c r="F100" s="303" t="s">
        <v>1</v>
      </c>
      <c r="G100" s="302" t="s">
        <v>1</v>
      </c>
      <c r="H100" s="304" t="s">
        <v>1</v>
      </c>
      <c r="I100" s="305" t="s">
        <v>1</v>
      </c>
      <c r="J100" s="306">
        <f>1022500/1000</f>
        <v>1022.5</v>
      </c>
      <c r="K100" s="306">
        <f>1022500/1000</f>
        <v>1022.5</v>
      </c>
      <c r="L100" s="409">
        <f>1022500/1000</f>
        <v>1022.5</v>
      </c>
      <c r="M100" s="204"/>
    </row>
    <row r="101" spans="1:13" ht="70.5" customHeight="1" x14ac:dyDescent="0.25">
      <c r="A101" s="274"/>
      <c r="B101" s="297" t="s">
        <v>614</v>
      </c>
      <c r="C101" s="214">
        <v>5</v>
      </c>
      <c r="D101" s="220">
        <v>2</v>
      </c>
      <c r="E101" s="228" t="s">
        <v>7</v>
      </c>
      <c r="F101" s="235" t="s">
        <v>5</v>
      </c>
      <c r="G101" s="228" t="s">
        <v>4</v>
      </c>
      <c r="H101" s="241" t="s">
        <v>3</v>
      </c>
      <c r="I101" s="249" t="s">
        <v>1</v>
      </c>
      <c r="J101" s="255">
        <f t="shared" ref="J101:K105" si="23">1022500/1000</f>
        <v>1022.5</v>
      </c>
      <c r="K101" s="255">
        <f t="shared" si="23"/>
        <v>1022.5</v>
      </c>
      <c r="L101" s="410">
        <f t="shared" ref="L101:L105" si="24">1022500/1000</f>
        <v>1022.5</v>
      </c>
      <c r="M101" s="204"/>
    </row>
    <row r="102" spans="1:13" ht="24" customHeight="1" x14ac:dyDescent="0.25">
      <c r="A102" s="274"/>
      <c r="B102" s="297" t="s">
        <v>588</v>
      </c>
      <c r="C102" s="214">
        <v>5</v>
      </c>
      <c r="D102" s="220">
        <v>2</v>
      </c>
      <c r="E102" s="228" t="s">
        <v>7</v>
      </c>
      <c r="F102" s="235" t="s">
        <v>31</v>
      </c>
      <c r="G102" s="228" t="s">
        <v>4</v>
      </c>
      <c r="H102" s="241" t="s">
        <v>3</v>
      </c>
      <c r="I102" s="249" t="s">
        <v>1</v>
      </c>
      <c r="J102" s="255">
        <f t="shared" si="23"/>
        <v>1022.5</v>
      </c>
      <c r="K102" s="255">
        <f t="shared" si="23"/>
        <v>1022.5</v>
      </c>
      <c r="L102" s="409">
        <f t="shared" si="24"/>
        <v>1022.5</v>
      </c>
      <c r="M102" s="204"/>
    </row>
    <row r="103" spans="1:13" ht="36" customHeight="1" x14ac:dyDescent="0.25">
      <c r="A103" s="274"/>
      <c r="B103" s="297" t="s">
        <v>623</v>
      </c>
      <c r="C103" s="214">
        <v>5</v>
      </c>
      <c r="D103" s="220">
        <v>2</v>
      </c>
      <c r="E103" s="228" t="s">
        <v>7</v>
      </c>
      <c r="F103" s="235" t="s">
        <v>31</v>
      </c>
      <c r="G103" s="228" t="s">
        <v>48</v>
      </c>
      <c r="H103" s="241" t="s">
        <v>3</v>
      </c>
      <c r="I103" s="249" t="s">
        <v>1</v>
      </c>
      <c r="J103" s="255">
        <f t="shared" si="23"/>
        <v>1022.5</v>
      </c>
      <c r="K103" s="255">
        <f t="shared" si="23"/>
        <v>1022.5</v>
      </c>
      <c r="L103" s="409">
        <f t="shared" si="24"/>
        <v>1022.5</v>
      </c>
      <c r="M103" s="204"/>
    </row>
    <row r="104" spans="1:13" ht="18" customHeight="1" x14ac:dyDescent="0.25">
      <c r="A104" s="274"/>
      <c r="B104" s="297" t="s">
        <v>27</v>
      </c>
      <c r="C104" s="214">
        <v>5</v>
      </c>
      <c r="D104" s="220">
        <v>2</v>
      </c>
      <c r="E104" s="228" t="s">
        <v>7</v>
      </c>
      <c r="F104" s="235" t="s">
        <v>31</v>
      </c>
      <c r="G104" s="228" t="s">
        <v>48</v>
      </c>
      <c r="H104" s="241" t="s">
        <v>26</v>
      </c>
      <c r="I104" s="249" t="s">
        <v>1</v>
      </c>
      <c r="J104" s="255">
        <f t="shared" si="23"/>
        <v>1022.5</v>
      </c>
      <c r="K104" s="255">
        <f t="shared" si="23"/>
        <v>1022.5</v>
      </c>
      <c r="L104" s="409">
        <f t="shared" si="24"/>
        <v>1022.5</v>
      </c>
      <c r="M104" s="204"/>
    </row>
    <row r="105" spans="1:13" ht="32.25" customHeight="1" x14ac:dyDescent="0.25">
      <c r="A105" s="274"/>
      <c r="B105" s="298" t="s">
        <v>22</v>
      </c>
      <c r="C105" s="215">
        <v>5</v>
      </c>
      <c r="D105" s="221">
        <v>2</v>
      </c>
      <c r="E105" s="229" t="s">
        <v>7</v>
      </c>
      <c r="F105" s="236" t="s">
        <v>31</v>
      </c>
      <c r="G105" s="229" t="s">
        <v>48</v>
      </c>
      <c r="H105" s="242" t="s">
        <v>26</v>
      </c>
      <c r="I105" s="250" t="s">
        <v>19</v>
      </c>
      <c r="J105" s="256">
        <f t="shared" si="23"/>
        <v>1022.5</v>
      </c>
      <c r="K105" s="256">
        <f t="shared" si="23"/>
        <v>1022.5</v>
      </c>
      <c r="L105" s="409">
        <f t="shared" si="24"/>
        <v>1022.5</v>
      </c>
      <c r="M105" s="204"/>
    </row>
    <row r="106" spans="1:13" ht="15" customHeight="1" x14ac:dyDescent="0.25">
      <c r="A106" s="274"/>
      <c r="B106" s="299" t="s">
        <v>25</v>
      </c>
      <c r="C106" s="300">
        <v>5</v>
      </c>
      <c r="D106" s="301">
        <v>3</v>
      </c>
      <c r="E106" s="302" t="s">
        <v>1</v>
      </c>
      <c r="F106" s="303" t="s">
        <v>1</v>
      </c>
      <c r="G106" s="302" t="s">
        <v>1</v>
      </c>
      <c r="H106" s="304" t="s">
        <v>1</v>
      </c>
      <c r="I106" s="305" t="s">
        <v>1</v>
      </c>
      <c r="J106" s="306">
        <f>2151450/1000</f>
        <v>2151.4499999999998</v>
      </c>
      <c r="K106" s="306">
        <f>1267067.05/1000</f>
        <v>1267.0670500000001</v>
      </c>
      <c r="L106" s="307">
        <f>1459017.08/1000</f>
        <v>1459.0170800000001</v>
      </c>
      <c r="M106" s="204"/>
    </row>
    <row r="107" spans="1:13" ht="69" customHeight="1" x14ac:dyDescent="0.25">
      <c r="A107" s="274"/>
      <c r="B107" s="297" t="s">
        <v>614</v>
      </c>
      <c r="C107" s="214">
        <v>5</v>
      </c>
      <c r="D107" s="220">
        <v>3</v>
      </c>
      <c r="E107" s="228" t="s">
        <v>7</v>
      </c>
      <c r="F107" s="235" t="s">
        <v>5</v>
      </c>
      <c r="G107" s="228" t="s">
        <v>4</v>
      </c>
      <c r="H107" s="241" t="s">
        <v>3</v>
      </c>
      <c r="I107" s="249" t="s">
        <v>1</v>
      </c>
      <c r="J107" s="255">
        <f>2151450/1000</f>
        <v>2151.4499999999998</v>
      </c>
      <c r="K107" s="255">
        <f>1267067.05/1000</f>
        <v>1267.0670500000001</v>
      </c>
      <c r="L107" s="263">
        <f>1459017.08/1000</f>
        <v>1459.0170800000001</v>
      </c>
      <c r="M107" s="204"/>
    </row>
    <row r="108" spans="1:13" ht="23.25" customHeight="1" x14ac:dyDescent="0.25">
      <c r="A108" s="274"/>
      <c r="B108" s="297" t="s">
        <v>588</v>
      </c>
      <c r="C108" s="214">
        <v>5</v>
      </c>
      <c r="D108" s="220">
        <v>3</v>
      </c>
      <c r="E108" s="228" t="s">
        <v>7</v>
      </c>
      <c r="F108" s="235" t="s">
        <v>31</v>
      </c>
      <c r="G108" s="228" t="s">
        <v>4</v>
      </c>
      <c r="H108" s="241" t="s">
        <v>3</v>
      </c>
      <c r="I108" s="249" t="s">
        <v>1</v>
      </c>
      <c r="J108" s="255">
        <f>2151450/1000</f>
        <v>2151.4499999999998</v>
      </c>
      <c r="K108" s="255">
        <f>1267067.05/1000</f>
        <v>1267.0670500000001</v>
      </c>
      <c r="L108" s="263">
        <f>1459017.08/1000</f>
        <v>1459.0170800000001</v>
      </c>
      <c r="M108" s="204"/>
    </row>
    <row r="109" spans="1:13" ht="15" customHeight="1" x14ac:dyDescent="0.25">
      <c r="A109" s="274"/>
      <c r="B109" s="297" t="s">
        <v>624</v>
      </c>
      <c r="C109" s="214">
        <v>5</v>
      </c>
      <c r="D109" s="220">
        <v>3</v>
      </c>
      <c r="E109" s="228" t="s">
        <v>7</v>
      </c>
      <c r="F109" s="235" t="s">
        <v>31</v>
      </c>
      <c r="G109" s="228" t="s">
        <v>39</v>
      </c>
      <c r="H109" s="241" t="s">
        <v>3</v>
      </c>
      <c r="I109" s="249" t="s">
        <v>1</v>
      </c>
      <c r="J109" s="255">
        <f>1351450/1000</f>
        <v>1351.45</v>
      </c>
      <c r="K109" s="255">
        <f>467067.05/1000</f>
        <v>467.06704999999999</v>
      </c>
      <c r="L109" s="263">
        <f>659017.08/1000</f>
        <v>659.01707999999996</v>
      </c>
      <c r="M109" s="204"/>
    </row>
    <row r="110" spans="1:13" ht="15" customHeight="1" x14ac:dyDescent="0.25">
      <c r="A110" s="274"/>
      <c r="B110" s="297" t="s">
        <v>625</v>
      </c>
      <c r="C110" s="214">
        <v>5</v>
      </c>
      <c r="D110" s="220">
        <v>3</v>
      </c>
      <c r="E110" s="228" t="s">
        <v>7</v>
      </c>
      <c r="F110" s="235" t="s">
        <v>31</v>
      </c>
      <c r="G110" s="228" t="s">
        <v>39</v>
      </c>
      <c r="H110" s="241" t="s">
        <v>24</v>
      </c>
      <c r="I110" s="249" t="s">
        <v>1</v>
      </c>
      <c r="J110" s="255">
        <f>1351450/1000</f>
        <v>1351.45</v>
      </c>
      <c r="K110" s="255">
        <f>467067.05/1000</f>
        <v>467.06704999999999</v>
      </c>
      <c r="L110" s="263">
        <f>659017.08/1000</f>
        <v>659.01707999999996</v>
      </c>
      <c r="M110" s="204"/>
    </row>
    <row r="111" spans="1:13" ht="15" customHeight="1" x14ac:dyDescent="0.25">
      <c r="A111" s="274"/>
      <c r="B111" s="298" t="s">
        <v>22</v>
      </c>
      <c r="C111" s="215">
        <v>5</v>
      </c>
      <c r="D111" s="221">
        <v>3</v>
      </c>
      <c r="E111" s="229" t="s">
        <v>7</v>
      </c>
      <c r="F111" s="236" t="s">
        <v>31</v>
      </c>
      <c r="G111" s="229" t="s">
        <v>39</v>
      </c>
      <c r="H111" s="242" t="s">
        <v>24</v>
      </c>
      <c r="I111" s="250" t="s">
        <v>19</v>
      </c>
      <c r="J111" s="256">
        <f>1351450/1000</f>
        <v>1351.45</v>
      </c>
      <c r="K111" s="256">
        <f>467067.05/1000</f>
        <v>467.06704999999999</v>
      </c>
      <c r="L111" s="264">
        <f>659017.08/1000</f>
        <v>659.01707999999996</v>
      </c>
      <c r="M111" s="204"/>
    </row>
    <row r="112" spans="1:13" ht="29.25" customHeight="1" x14ac:dyDescent="0.25">
      <c r="A112" s="274"/>
      <c r="B112" s="309" t="s">
        <v>618</v>
      </c>
      <c r="C112" s="216">
        <v>5</v>
      </c>
      <c r="D112" s="222">
        <v>3</v>
      </c>
      <c r="E112" s="230" t="s">
        <v>7</v>
      </c>
      <c r="F112" s="237" t="s">
        <v>31</v>
      </c>
      <c r="G112" s="230" t="s">
        <v>37</v>
      </c>
      <c r="H112" s="243" t="s">
        <v>3</v>
      </c>
      <c r="I112" s="251" t="s">
        <v>1</v>
      </c>
      <c r="J112" s="257">
        <f>800000/1000</f>
        <v>800</v>
      </c>
      <c r="K112" s="257">
        <f>800000/1000</f>
        <v>800</v>
      </c>
      <c r="L112" s="264">
        <f>800000/1000</f>
        <v>800</v>
      </c>
      <c r="M112" s="204"/>
    </row>
    <row r="113" spans="1:13" ht="29.25" customHeight="1" x14ac:dyDescent="0.25">
      <c r="A113" s="274"/>
      <c r="B113" s="297" t="s">
        <v>23</v>
      </c>
      <c r="C113" s="214">
        <v>5</v>
      </c>
      <c r="D113" s="220">
        <v>3</v>
      </c>
      <c r="E113" s="228" t="s">
        <v>7</v>
      </c>
      <c r="F113" s="235" t="s">
        <v>31</v>
      </c>
      <c r="G113" s="228" t="s">
        <v>37</v>
      </c>
      <c r="H113" s="241" t="s">
        <v>20</v>
      </c>
      <c r="I113" s="249" t="s">
        <v>1</v>
      </c>
      <c r="J113" s="255">
        <f>800000/1000</f>
        <v>800</v>
      </c>
      <c r="K113" s="255">
        <f>800000/1000</f>
        <v>800</v>
      </c>
      <c r="L113" s="264">
        <f t="shared" ref="L113:L114" si="25">800000/1000</f>
        <v>800</v>
      </c>
      <c r="M113" s="204"/>
    </row>
    <row r="114" spans="1:13" ht="37.5" customHeight="1" x14ac:dyDescent="0.25">
      <c r="A114" s="274"/>
      <c r="B114" s="298" t="s">
        <v>22</v>
      </c>
      <c r="C114" s="215">
        <v>5</v>
      </c>
      <c r="D114" s="221">
        <v>3</v>
      </c>
      <c r="E114" s="229" t="s">
        <v>7</v>
      </c>
      <c r="F114" s="236" t="s">
        <v>31</v>
      </c>
      <c r="G114" s="229" t="s">
        <v>37</v>
      </c>
      <c r="H114" s="242" t="s">
        <v>20</v>
      </c>
      <c r="I114" s="250" t="s">
        <v>19</v>
      </c>
      <c r="J114" s="256">
        <f>800000/1000</f>
        <v>800</v>
      </c>
      <c r="K114" s="256">
        <f>800000/1000</f>
        <v>800</v>
      </c>
      <c r="L114" s="264">
        <f t="shared" si="25"/>
        <v>800</v>
      </c>
      <c r="M114" s="204"/>
    </row>
    <row r="115" spans="1:13" ht="15" customHeight="1" x14ac:dyDescent="0.25">
      <c r="A115" s="274"/>
      <c r="B115" s="310" t="s">
        <v>18</v>
      </c>
      <c r="C115" s="217">
        <v>8</v>
      </c>
      <c r="D115" s="223" t="s">
        <v>1</v>
      </c>
      <c r="E115" s="231" t="s">
        <v>1</v>
      </c>
      <c r="F115" s="238" t="s">
        <v>1</v>
      </c>
      <c r="G115" s="231" t="s">
        <v>1</v>
      </c>
      <c r="H115" s="244" t="s">
        <v>1</v>
      </c>
      <c r="I115" s="252" t="s">
        <v>1</v>
      </c>
      <c r="J115" s="258">
        <f>3901270/1000</f>
        <v>3901.27</v>
      </c>
      <c r="K115" s="258">
        <f t="shared" ref="K115:L119" si="26">3542270/1000</f>
        <v>3542.27</v>
      </c>
      <c r="L115" s="266">
        <f t="shared" si="26"/>
        <v>3542.27</v>
      </c>
      <c r="M115" s="204"/>
    </row>
    <row r="116" spans="1:13" ht="19.5" customHeight="1" x14ac:dyDescent="0.25">
      <c r="A116" s="274"/>
      <c r="B116" s="296" t="s">
        <v>17</v>
      </c>
      <c r="C116" s="213">
        <v>8</v>
      </c>
      <c r="D116" s="219">
        <v>1</v>
      </c>
      <c r="E116" s="227" t="s">
        <v>1</v>
      </c>
      <c r="F116" s="234" t="s">
        <v>1</v>
      </c>
      <c r="G116" s="227" t="s">
        <v>1</v>
      </c>
      <c r="H116" s="240" t="s">
        <v>1</v>
      </c>
      <c r="I116" s="248" t="s">
        <v>1</v>
      </c>
      <c r="J116" s="254">
        <f>3901270/1000</f>
        <v>3901.27</v>
      </c>
      <c r="K116" s="254">
        <f t="shared" si="26"/>
        <v>3542.27</v>
      </c>
      <c r="L116" s="262">
        <f t="shared" si="26"/>
        <v>3542.27</v>
      </c>
      <c r="M116" s="204"/>
    </row>
    <row r="117" spans="1:13" ht="53.25" customHeight="1" x14ac:dyDescent="0.25">
      <c r="A117" s="274"/>
      <c r="B117" s="297" t="s">
        <v>626</v>
      </c>
      <c r="C117" s="214">
        <v>8</v>
      </c>
      <c r="D117" s="220">
        <v>1</v>
      </c>
      <c r="E117" s="228" t="s">
        <v>14</v>
      </c>
      <c r="F117" s="235" t="s">
        <v>5</v>
      </c>
      <c r="G117" s="228" t="s">
        <v>4</v>
      </c>
      <c r="H117" s="241" t="s">
        <v>3</v>
      </c>
      <c r="I117" s="249" t="s">
        <v>1</v>
      </c>
      <c r="J117" s="255">
        <f>3901270/1000</f>
        <v>3901.27</v>
      </c>
      <c r="K117" s="255">
        <f t="shared" si="26"/>
        <v>3542.27</v>
      </c>
      <c r="L117" s="263">
        <f t="shared" si="26"/>
        <v>3542.27</v>
      </c>
      <c r="M117" s="204"/>
    </row>
    <row r="118" spans="1:13" ht="21" customHeight="1" x14ac:dyDescent="0.25">
      <c r="A118" s="274"/>
      <c r="B118" s="297" t="s">
        <v>588</v>
      </c>
      <c r="C118" s="214">
        <v>8</v>
      </c>
      <c r="D118" s="220">
        <v>1</v>
      </c>
      <c r="E118" s="228" t="s">
        <v>14</v>
      </c>
      <c r="F118" s="235" t="s">
        <v>31</v>
      </c>
      <c r="G118" s="228" t="s">
        <v>4</v>
      </c>
      <c r="H118" s="241" t="s">
        <v>3</v>
      </c>
      <c r="I118" s="249" t="s">
        <v>1</v>
      </c>
      <c r="J118" s="255">
        <f>3901270/1000</f>
        <v>3901.27</v>
      </c>
      <c r="K118" s="255">
        <f t="shared" si="26"/>
        <v>3542.27</v>
      </c>
      <c r="L118" s="263">
        <f t="shared" si="26"/>
        <v>3542.27</v>
      </c>
      <c r="M118" s="204"/>
    </row>
    <row r="119" spans="1:13" ht="15" customHeight="1" x14ac:dyDescent="0.25">
      <c r="A119" s="274"/>
      <c r="B119" s="297" t="s">
        <v>627</v>
      </c>
      <c r="C119" s="214">
        <v>8</v>
      </c>
      <c r="D119" s="220">
        <v>1</v>
      </c>
      <c r="E119" s="228" t="s">
        <v>14</v>
      </c>
      <c r="F119" s="235" t="s">
        <v>31</v>
      </c>
      <c r="G119" s="228" t="s">
        <v>30</v>
      </c>
      <c r="H119" s="241" t="s">
        <v>3</v>
      </c>
      <c r="I119" s="249" t="s">
        <v>1</v>
      </c>
      <c r="J119" s="255">
        <f>3901270/1000</f>
        <v>3901.27</v>
      </c>
      <c r="K119" s="255">
        <f t="shared" si="26"/>
        <v>3542.27</v>
      </c>
      <c r="L119" s="263">
        <f t="shared" si="26"/>
        <v>3542.27</v>
      </c>
      <c r="M119" s="204"/>
    </row>
    <row r="120" spans="1:13" ht="39.75" customHeight="1" x14ac:dyDescent="0.25">
      <c r="A120" s="274"/>
      <c r="B120" s="297" t="s">
        <v>377</v>
      </c>
      <c r="C120" s="214">
        <v>8</v>
      </c>
      <c r="D120" s="220">
        <v>1</v>
      </c>
      <c r="E120" s="228" t="s">
        <v>14</v>
      </c>
      <c r="F120" s="235" t="s">
        <v>31</v>
      </c>
      <c r="G120" s="228" t="s">
        <v>30</v>
      </c>
      <c r="H120" s="241" t="s">
        <v>628</v>
      </c>
      <c r="I120" s="249" t="s">
        <v>1</v>
      </c>
      <c r="J120" s="255">
        <f>359000/1000</f>
        <v>359</v>
      </c>
      <c r="K120" s="255">
        <v>0</v>
      </c>
      <c r="L120" s="263">
        <v>0</v>
      </c>
      <c r="M120" s="204"/>
    </row>
    <row r="121" spans="1:13" ht="15" customHeight="1" x14ac:dyDescent="0.25">
      <c r="A121" s="274"/>
      <c r="B121" s="298" t="s">
        <v>15</v>
      </c>
      <c r="C121" s="215">
        <v>8</v>
      </c>
      <c r="D121" s="221">
        <v>1</v>
      </c>
      <c r="E121" s="229" t="s">
        <v>14</v>
      </c>
      <c r="F121" s="236" t="s">
        <v>31</v>
      </c>
      <c r="G121" s="229" t="s">
        <v>30</v>
      </c>
      <c r="H121" s="242" t="s">
        <v>628</v>
      </c>
      <c r="I121" s="250" t="s">
        <v>12</v>
      </c>
      <c r="J121" s="256">
        <f>359000/1000</f>
        <v>359</v>
      </c>
      <c r="K121" s="256">
        <v>0</v>
      </c>
      <c r="L121" s="264">
        <v>0</v>
      </c>
      <c r="M121" s="204"/>
    </row>
    <row r="122" spans="1:13" ht="23.25" customHeight="1" x14ac:dyDescent="0.25">
      <c r="A122" s="274"/>
      <c r="B122" s="309" t="s">
        <v>16</v>
      </c>
      <c r="C122" s="216">
        <v>8</v>
      </c>
      <c r="D122" s="222">
        <v>1</v>
      </c>
      <c r="E122" s="230" t="s">
        <v>14</v>
      </c>
      <c r="F122" s="237" t="s">
        <v>31</v>
      </c>
      <c r="G122" s="230" t="s">
        <v>30</v>
      </c>
      <c r="H122" s="243" t="s">
        <v>13</v>
      </c>
      <c r="I122" s="251" t="s">
        <v>1</v>
      </c>
      <c r="J122" s="257">
        <f t="shared" ref="J122:L123" si="27">3534970/1000</f>
        <v>3534.97</v>
      </c>
      <c r="K122" s="257">
        <f t="shared" si="27"/>
        <v>3534.97</v>
      </c>
      <c r="L122" s="265">
        <f t="shared" si="27"/>
        <v>3534.97</v>
      </c>
      <c r="M122" s="204"/>
    </row>
    <row r="123" spans="1:13" ht="15" customHeight="1" x14ac:dyDescent="0.25">
      <c r="A123" s="274"/>
      <c r="B123" s="298" t="s">
        <v>15</v>
      </c>
      <c r="C123" s="215">
        <v>8</v>
      </c>
      <c r="D123" s="221">
        <v>1</v>
      </c>
      <c r="E123" s="229" t="s">
        <v>14</v>
      </c>
      <c r="F123" s="236" t="s">
        <v>31</v>
      </c>
      <c r="G123" s="229" t="s">
        <v>30</v>
      </c>
      <c r="H123" s="242" t="s">
        <v>13</v>
      </c>
      <c r="I123" s="250" t="s">
        <v>12</v>
      </c>
      <c r="J123" s="256">
        <f t="shared" si="27"/>
        <v>3534.97</v>
      </c>
      <c r="K123" s="256">
        <f t="shared" si="27"/>
        <v>3534.97</v>
      </c>
      <c r="L123" s="264">
        <f t="shared" si="27"/>
        <v>3534.97</v>
      </c>
      <c r="M123" s="204"/>
    </row>
    <row r="124" spans="1:13" ht="15" customHeight="1" x14ac:dyDescent="0.25">
      <c r="A124" s="274"/>
      <c r="B124" s="309" t="s">
        <v>610</v>
      </c>
      <c r="C124" s="216">
        <v>8</v>
      </c>
      <c r="D124" s="222">
        <v>1</v>
      </c>
      <c r="E124" s="230" t="s">
        <v>14</v>
      </c>
      <c r="F124" s="237" t="s">
        <v>31</v>
      </c>
      <c r="G124" s="230" t="s">
        <v>30</v>
      </c>
      <c r="H124" s="243" t="s">
        <v>364</v>
      </c>
      <c r="I124" s="251" t="s">
        <v>1</v>
      </c>
      <c r="J124" s="257">
        <f t="shared" ref="J124:L125" si="28">7300/1000</f>
        <v>7.3</v>
      </c>
      <c r="K124" s="257">
        <f t="shared" si="28"/>
        <v>7.3</v>
      </c>
      <c r="L124" s="265">
        <f t="shared" si="28"/>
        <v>7.3</v>
      </c>
      <c r="M124" s="204"/>
    </row>
    <row r="125" spans="1:13" ht="15" customHeight="1" x14ac:dyDescent="0.25">
      <c r="A125" s="274"/>
      <c r="B125" s="298" t="s">
        <v>15</v>
      </c>
      <c r="C125" s="215">
        <v>8</v>
      </c>
      <c r="D125" s="221">
        <v>1</v>
      </c>
      <c r="E125" s="229" t="s">
        <v>14</v>
      </c>
      <c r="F125" s="236" t="s">
        <v>31</v>
      </c>
      <c r="G125" s="229" t="s">
        <v>30</v>
      </c>
      <c r="H125" s="242" t="s">
        <v>364</v>
      </c>
      <c r="I125" s="250" t="s">
        <v>12</v>
      </c>
      <c r="J125" s="256">
        <f t="shared" si="28"/>
        <v>7.3</v>
      </c>
      <c r="K125" s="256">
        <f t="shared" si="28"/>
        <v>7.3</v>
      </c>
      <c r="L125" s="264">
        <f t="shared" si="28"/>
        <v>7.3</v>
      </c>
      <c r="M125" s="204"/>
    </row>
    <row r="126" spans="1:13" ht="29.25" customHeight="1" x14ac:dyDescent="0.25">
      <c r="A126" s="274"/>
      <c r="B126" s="310" t="s">
        <v>11</v>
      </c>
      <c r="C126" s="217">
        <v>10</v>
      </c>
      <c r="D126" s="223" t="s">
        <v>1</v>
      </c>
      <c r="E126" s="231" t="s">
        <v>1</v>
      </c>
      <c r="F126" s="238" t="s">
        <v>1</v>
      </c>
      <c r="G126" s="231" t="s">
        <v>1</v>
      </c>
      <c r="H126" s="244" t="s">
        <v>1</v>
      </c>
      <c r="I126" s="252" t="s">
        <v>1</v>
      </c>
      <c r="J126" s="258">
        <f t="shared" ref="J126:L127" si="29">447000/1000</f>
        <v>447</v>
      </c>
      <c r="K126" s="258">
        <f t="shared" si="29"/>
        <v>447</v>
      </c>
      <c r="L126" s="266">
        <f t="shared" si="29"/>
        <v>447</v>
      </c>
      <c r="M126" s="204"/>
    </row>
    <row r="127" spans="1:13" ht="15" customHeight="1" x14ac:dyDescent="0.25">
      <c r="A127" s="274"/>
      <c r="B127" s="296" t="s">
        <v>10</v>
      </c>
      <c r="C127" s="213">
        <v>10</v>
      </c>
      <c r="D127" s="219">
        <v>1</v>
      </c>
      <c r="E127" s="227" t="s">
        <v>1</v>
      </c>
      <c r="F127" s="234" t="s">
        <v>1</v>
      </c>
      <c r="G127" s="227" t="s">
        <v>1</v>
      </c>
      <c r="H127" s="240" t="s">
        <v>1</v>
      </c>
      <c r="I127" s="248" t="s">
        <v>1</v>
      </c>
      <c r="J127" s="254">
        <f t="shared" si="29"/>
        <v>447</v>
      </c>
      <c r="K127" s="254">
        <f t="shared" si="29"/>
        <v>447</v>
      </c>
      <c r="L127" s="262">
        <f t="shared" si="29"/>
        <v>447</v>
      </c>
      <c r="M127" s="204"/>
    </row>
    <row r="128" spans="1:13" ht="15" customHeight="1" x14ac:dyDescent="0.25">
      <c r="A128" s="274"/>
      <c r="B128" s="297" t="s">
        <v>587</v>
      </c>
      <c r="C128" s="214">
        <v>10</v>
      </c>
      <c r="D128" s="220">
        <v>1</v>
      </c>
      <c r="E128" s="228" t="s">
        <v>49</v>
      </c>
      <c r="F128" s="235" t="s">
        <v>5</v>
      </c>
      <c r="G128" s="228" t="s">
        <v>4</v>
      </c>
      <c r="H128" s="241" t="s">
        <v>3</v>
      </c>
      <c r="I128" s="249" t="s">
        <v>1</v>
      </c>
      <c r="J128" s="255">
        <f>447000/1000</f>
        <v>447</v>
      </c>
      <c r="K128" s="254">
        <f t="shared" ref="K128:L132" si="30">447000/1000</f>
        <v>447</v>
      </c>
      <c r="L128" s="262">
        <f t="shared" si="30"/>
        <v>447</v>
      </c>
      <c r="M128" s="204"/>
    </row>
    <row r="129" spans="1:13" ht="21.75" customHeight="1" x14ac:dyDescent="0.25">
      <c r="A129" s="274"/>
      <c r="B129" s="297" t="s">
        <v>588</v>
      </c>
      <c r="C129" s="214">
        <v>10</v>
      </c>
      <c r="D129" s="220">
        <v>1</v>
      </c>
      <c r="E129" s="228" t="s">
        <v>49</v>
      </c>
      <c r="F129" s="235" t="s">
        <v>31</v>
      </c>
      <c r="G129" s="228" t="s">
        <v>4</v>
      </c>
      <c r="H129" s="241" t="s">
        <v>3</v>
      </c>
      <c r="I129" s="249" t="s">
        <v>1</v>
      </c>
      <c r="J129" s="255">
        <f>447000/1000</f>
        <v>447</v>
      </c>
      <c r="K129" s="254">
        <f t="shared" si="30"/>
        <v>447</v>
      </c>
      <c r="L129" s="262">
        <f t="shared" si="30"/>
        <v>447</v>
      </c>
      <c r="M129" s="204"/>
    </row>
    <row r="130" spans="1:13" ht="15" customHeight="1" x14ac:dyDescent="0.25">
      <c r="A130" s="274"/>
      <c r="B130" s="297" t="s">
        <v>629</v>
      </c>
      <c r="C130" s="214">
        <v>10</v>
      </c>
      <c r="D130" s="220">
        <v>1</v>
      </c>
      <c r="E130" s="228" t="s">
        <v>49</v>
      </c>
      <c r="F130" s="235" t="s">
        <v>31</v>
      </c>
      <c r="G130" s="228" t="s">
        <v>30</v>
      </c>
      <c r="H130" s="241" t="s">
        <v>3</v>
      </c>
      <c r="I130" s="249" t="s">
        <v>1</v>
      </c>
      <c r="J130" s="255">
        <f>447000/1000</f>
        <v>447</v>
      </c>
      <c r="K130" s="254">
        <f t="shared" si="30"/>
        <v>447</v>
      </c>
      <c r="L130" s="262">
        <f t="shared" si="30"/>
        <v>447</v>
      </c>
      <c r="M130" s="204"/>
    </row>
    <row r="131" spans="1:13" ht="15" customHeight="1" x14ac:dyDescent="0.25">
      <c r="A131" s="274"/>
      <c r="B131" s="297" t="s">
        <v>472</v>
      </c>
      <c r="C131" s="214">
        <v>10</v>
      </c>
      <c r="D131" s="220">
        <v>1</v>
      </c>
      <c r="E131" s="228" t="s">
        <v>49</v>
      </c>
      <c r="F131" s="235" t="s">
        <v>31</v>
      </c>
      <c r="G131" s="228" t="s">
        <v>30</v>
      </c>
      <c r="H131" s="241" t="s">
        <v>630</v>
      </c>
      <c r="I131" s="249" t="s">
        <v>1</v>
      </c>
      <c r="J131" s="255">
        <f>447000/1000</f>
        <v>447</v>
      </c>
      <c r="K131" s="254">
        <f t="shared" si="30"/>
        <v>447</v>
      </c>
      <c r="L131" s="262">
        <f t="shared" si="30"/>
        <v>447</v>
      </c>
      <c r="M131" s="204"/>
    </row>
    <row r="132" spans="1:13" ht="21.75" customHeight="1" x14ac:dyDescent="0.25">
      <c r="A132" s="274"/>
      <c r="B132" s="298" t="s">
        <v>9</v>
      </c>
      <c r="C132" s="215">
        <v>10</v>
      </c>
      <c r="D132" s="221">
        <v>1</v>
      </c>
      <c r="E132" s="229" t="s">
        <v>49</v>
      </c>
      <c r="F132" s="236" t="s">
        <v>31</v>
      </c>
      <c r="G132" s="229" t="s">
        <v>30</v>
      </c>
      <c r="H132" s="242" t="s">
        <v>630</v>
      </c>
      <c r="I132" s="250" t="s">
        <v>8</v>
      </c>
      <c r="J132" s="256">
        <f>447000/1000</f>
        <v>447</v>
      </c>
      <c r="K132" s="407">
        <f t="shared" si="30"/>
        <v>447</v>
      </c>
      <c r="L132" s="409">
        <f t="shared" si="30"/>
        <v>447</v>
      </c>
      <c r="M132" s="204"/>
    </row>
    <row r="133" spans="1:13" ht="15" customHeight="1" x14ac:dyDescent="0.25">
      <c r="A133" s="274"/>
      <c r="B133" s="310" t="s">
        <v>318</v>
      </c>
      <c r="C133" s="217">
        <v>11</v>
      </c>
      <c r="D133" s="223" t="s">
        <v>1</v>
      </c>
      <c r="E133" s="231" t="s">
        <v>1</v>
      </c>
      <c r="F133" s="238" t="s">
        <v>1</v>
      </c>
      <c r="G133" s="231" t="s">
        <v>1</v>
      </c>
      <c r="H133" s="244" t="s">
        <v>1</v>
      </c>
      <c r="I133" s="252" t="s">
        <v>1</v>
      </c>
      <c r="J133" s="258">
        <f>100000/1000</f>
        <v>100</v>
      </c>
      <c r="K133" s="408">
        <f>100000/1000</f>
        <v>100</v>
      </c>
      <c r="L133" s="266">
        <f>100000/1000</f>
        <v>100</v>
      </c>
      <c r="M133" s="204"/>
    </row>
    <row r="134" spans="1:13" ht="15" customHeight="1" x14ac:dyDescent="0.25">
      <c r="A134" s="274"/>
      <c r="B134" s="296" t="s">
        <v>631</v>
      </c>
      <c r="C134" s="213">
        <v>11</v>
      </c>
      <c r="D134" s="219">
        <v>1</v>
      </c>
      <c r="E134" s="227" t="s">
        <v>1</v>
      </c>
      <c r="F134" s="234" t="s">
        <v>1</v>
      </c>
      <c r="G134" s="227" t="s">
        <v>1</v>
      </c>
      <c r="H134" s="240" t="s">
        <v>1</v>
      </c>
      <c r="I134" s="248" t="s">
        <v>1</v>
      </c>
      <c r="J134" s="254">
        <f>100000/1000</f>
        <v>100</v>
      </c>
      <c r="K134" s="405">
        <f t="shared" ref="K134:L139" si="31">100000/1000</f>
        <v>100</v>
      </c>
      <c r="L134" s="262">
        <f>100000/1000</f>
        <v>100</v>
      </c>
      <c r="M134" s="204"/>
    </row>
    <row r="135" spans="1:13" ht="15" customHeight="1" x14ac:dyDescent="0.25">
      <c r="A135" s="274"/>
      <c r="B135" s="297" t="s">
        <v>614</v>
      </c>
      <c r="C135" s="214">
        <v>11</v>
      </c>
      <c r="D135" s="220">
        <v>1</v>
      </c>
      <c r="E135" s="228" t="s">
        <v>7</v>
      </c>
      <c r="F135" s="235" t="s">
        <v>5</v>
      </c>
      <c r="G135" s="228" t="s">
        <v>4</v>
      </c>
      <c r="H135" s="241" t="s">
        <v>3</v>
      </c>
      <c r="I135" s="249" t="s">
        <v>1</v>
      </c>
      <c r="J135" s="254">
        <f t="shared" ref="J135:J139" si="32">100000/1000</f>
        <v>100</v>
      </c>
      <c r="K135" s="405">
        <f t="shared" si="31"/>
        <v>100</v>
      </c>
      <c r="L135" s="262">
        <f t="shared" si="31"/>
        <v>100</v>
      </c>
      <c r="M135" s="204"/>
    </row>
    <row r="136" spans="1:13" ht="15" customHeight="1" x14ac:dyDescent="0.25">
      <c r="A136" s="274"/>
      <c r="B136" s="297" t="s">
        <v>588</v>
      </c>
      <c r="C136" s="214">
        <v>11</v>
      </c>
      <c r="D136" s="220">
        <v>1</v>
      </c>
      <c r="E136" s="228" t="s">
        <v>7</v>
      </c>
      <c r="F136" s="235" t="s">
        <v>31</v>
      </c>
      <c r="G136" s="228" t="s">
        <v>4</v>
      </c>
      <c r="H136" s="241" t="s">
        <v>3</v>
      </c>
      <c r="I136" s="249" t="s">
        <v>1</v>
      </c>
      <c r="J136" s="254">
        <f t="shared" si="32"/>
        <v>100</v>
      </c>
      <c r="K136" s="405">
        <f t="shared" si="31"/>
        <v>100</v>
      </c>
      <c r="L136" s="262">
        <f t="shared" si="31"/>
        <v>100</v>
      </c>
      <c r="M136" s="204"/>
    </row>
    <row r="137" spans="1:13" ht="15" customHeight="1" x14ac:dyDescent="0.25">
      <c r="A137" s="274"/>
      <c r="B137" s="297" t="s">
        <v>632</v>
      </c>
      <c r="C137" s="214">
        <v>11</v>
      </c>
      <c r="D137" s="220">
        <v>1</v>
      </c>
      <c r="E137" s="228" t="s">
        <v>7</v>
      </c>
      <c r="F137" s="235" t="s">
        <v>31</v>
      </c>
      <c r="G137" s="228" t="s">
        <v>633</v>
      </c>
      <c r="H137" s="241" t="s">
        <v>3</v>
      </c>
      <c r="I137" s="249" t="s">
        <v>1</v>
      </c>
      <c r="J137" s="254">
        <f t="shared" si="32"/>
        <v>100</v>
      </c>
      <c r="K137" s="405">
        <f t="shared" si="31"/>
        <v>100</v>
      </c>
      <c r="L137" s="262">
        <f t="shared" si="31"/>
        <v>100</v>
      </c>
      <c r="M137" s="204"/>
    </row>
    <row r="138" spans="1:13" ht="15" customHeight="1" x14ac:dyDescent="0.25">
      <c r="A138" s="274"/>
      <c r="B138" s="297" t="s">
        <v>634</v>
      </c>
      <c r="C138" s="214">
        <v>11</v>
      </c>
      <c r="D138" s="220">
        <v>1</v>
      </c>
      <c r="E138" s="228" t="s">
        <v>7</v>
      </c>
      <c r="F138" s="235" t="s">
        <v>31</v>
      </c>
      <c r="G138" s="228" t="s">
        <v>633</v>
      </c>
      <c r="H138" s="241" t="s">
        <v>635</v>
      </c>
      <c r="I138" s="249" t="s">
        <v>1</v>
      </c>
      <c r="J138" s="254">
        <f t="shared" si="32"/>
        <v>100</v>
      </c>
      <c r="K138" s="405">
        <f t="shared" si="31"/>
        <v>100</v>
      </c>
      <c r="L138" s="262">
        <f t="shared" si="31"/>
        <v>100</v>
      </c>
      <c r="M138" s="204"/>
    </row>
    <row r="139" spans="1:13" ht="15" customHeight="1" x14ac:dyDescent="0.25">
      <c r="A139" s="274"/>
      <c r="B139" s="298" t="s">
        <v>22</v>
      </c>
      <c r="C139" s="215">
        <v>11</v>
      </c>
      <c r="D139" s="221">
        <v>1</v>
      </c>
      <c r="E139" s="229" t="s">
        <v>7</v>
      </c>
      <c r="F139" s="236" t="s">
        <v>31</v>
      </c>
      <c r="G139" s="229" t="s">
        <v>633</v>
      </c>
      <c r="H139" s="242" t="s">
        <v>635</v>
      </c>
      <c r="I139" s="250" t="s">
        <v>19</v>
      </c>
      <c r="J139" s="407">
        <f t="shared" si="32"/>
        <v>100</v>
      </c>
      <c r="K139" s="405">
        <f t="shared" si="31"/>
        <v>100</v>
      </c>
      <c r="L139" s="409">
        <f t="shared" si="31"/>
        <v>100</v>
      </c>
      <c r="M139" s="204"/>
    </row>
    <row r="140" spans="1:13" ht="15" customHeight="1" x14ac:dyDescent="0.25">
      <c r="A140" s="274"/>
      <c r="B140" s="310" t="s">
        <v>2</v>
      </c>
      <c r="C140" s="217"/>
      <c r="D140" s="223" t="s">
        <v>1</v>
      </c>
      <c r="E140" s="231" t="s">
        <v>1</v>
      </c>
      <c r="F140" s="238" t="s">
        <v>1</v>
      </c>
      <c r="G140" s="231" t="s">
        <v>1</v>
      </c>
      <c r="H140" s="244" t="s">
        <v>1</v>
      </c>
      <c r="I140" s="252" t="s">
        <v>1</v>
      </c>
      <c r="J140" s="258">
        <v>0</v>
      </c>
      <c r="K140" s="258">
        <v>575430</v>
      </c>
      <c r="L140" s="266">
        <v>571570</v>
      </c>
      <c r="M140" s="204"/>
    </row>
    <row r="141" spans="1:13" ht="15" customHeight="1" thickBot="1" x14ac:dyDescent="0.3">
      <c r="A141" s="210"/>
      <c r="B141" s="311" t="s">
        <v>0</v>
      </c>
      <c r="C141" s="312"/>
      <c r="D141" s="312"/>
      <c r="E141" s="312"/>
      <c r="F141" s="312"/>
      <c r="G141" s="312"/>
      <c r="H141" s="312"/>
      <c r="I141" s="312"/>
      <c r="J141" s="313">
        <v>24670427.379999999</v>
      </c>
      <c r="K141" s="314">
        <v>23017360</v>
      </c>
      <c r="L141" s="315">
        <v>22862620</v>
      </c>
      <c r="M141" s="203"/>
    </row>
    <row r="142" spans="1:13" ht="33" customHeight="1" x14ac:dyDescent="0.25">
      <c r="A142" s="210"/>
      <c r="B142" s="210"/>
      <c r="C142" s="210"/>
      <c r="D142" s="204"/>
      <c r="E142" s="204"/>
      <c r="F142" s="204"/>
      <c r="G142" s="204"/>
      <c r="H142" s="204"/>
      <c r="I142" s="204"/>
      <c r="J142" s="203"/>
      <c r="K142" s="210"/>
      <c r="L142" s="204"/>
      <c r="M142" s="203"/>
    </row>
    <row r="143" spans="1:13" ht="15" customHeight="1" x14ac:dyDescent="0.25"/>
    <row r="144" spans="1:13" ht="15" customHeight="1" x14ac:dyDescent="0.25"/>
    <row r="145" ht="60" customHeight="1" x14ac:dyDescent="0.25"/>
    <row r="146" ht="15" customHeight="1" x14ac:dyDescent="0.25"/>
    <row r="147" ht="21" customHeight="1" x14ac:dyDescent="0.25"/>
    <row r="148" ht="15" customHeight="1" x14ac:dyDescent="0.25"/>
    <row r="149" ht="15" customHeight="1" x14ac:dyDescent="0.25"/>
    <row r="150" ht="15" customHeight="1" x14ac:dyDescent="0.25"/>
    <row r="151" ht="60" customHeight="1" x14ac:dyDescent="0.25"/>
    <row r="152" ht="29.25" customHeight="1" x14ac:dyDescent="0.25"/>
    <row r="153" ht="43.5" customHeight="1" x14ac:dyDescent="0.25"/>
    <row r="154" ht="29.25" customHeight="1" x14ac:dyDescent="0.25"/>
    <row r="155" ht="29.25" customHeight="1" x14ac:dyDescent="0.25"/>
    <row r="156" ht="21.75" customHeight="1" x14ac:dyDescent="0.25"/>
    <row r="157" ht="65.25" customHeight="1" x14ac:dyDescent="0.25"/>
    <row r="158" ht="27.75" customHeight="1" x14ac:dyDescent="0.25"/>
    <row r="159" ht="29.25" customHeight="1" x14ac:dyDescent="0.25"/>
    <row r="160" ht="46.5" customHeight="1" x14ac:dyDescent="0.25"/>
    <row r="161" ht="29.25" customHeight="1" x14ac:dyDescent="0.25"/>
    <row r="162" ht="22.5" customHeight="1" x14ac:dyDescent="0.25"/>
    <row r="163" ht="46.5" customHeight="1" x14ac:dyDescent="0.25"/>
    <row r="164" ht="29.25" customHeight="1" x14ac:dyDescent="0.25"/>
    <row r="165" ht="21.75" customHeight="1" x14ac:dyDescent="0.25"/>
    <row r="166" ht="29.25" customHeight="1" x14ac:dyDescent="0.25"/>
    <row r="167" ht="47.25" customHeight="1" x14ac:dyDescent="0.25"/>
    <row r="168" ht="15" customHeight="1" x14ac:dyDescent="0.25"/>
    <row r="169" ht="0.75" customHeight="1" x14ac:dyDescent="0.25"/>
    <row r="170" ht="21.75" customHeight="1" x14ac:dyDescent="0.25"/>
    <row r="171" ht="12.75" customHeight="1" x14ac:dyDescent="0.25"/>
    <row r="172" ht="2.85" customHeight="1" x14ac:dyDescent="0.25"/>
  </sheetData>
  <mergeCells count="2">
    <mergeCell ref="E10:H10"/>
    <mergeCell ref="B8:L8"/>
  </mergeCells>
  <pageMargins left="1.1811023622047201" right="0.39370078740157499" top="0.78740157480314998" bottom="0.59055118110236204" header="0.31496063461453899" footer="0.31496063461453899"/>
  <pageSetup paperSize="9" scale="56" fitToHeight="0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topLeftCell="A4" zoomScale="90" zoomScaleNormal="90" workbookViewId="0">
      <selection activeCell="F15" sqref="F15"/>
    </sheetView>
  </sheetViews>
  <sheetFormatPr defaultColWidth="9.28515625" defaultRowHeight="15" x14ac:dyDescent="0.25"/>
  <cols>
    <col min="1" max="1" width="0.5703125" customWidth="1"/>
    <col min="2" max="2" width="68" customWidth="1"/>
    <col min="3" max="3" width="3.28515625" customWidth="1"/>
    <col min="4" max="4" width="2.140625" customWidth="1"/>
    <col min="5" max="5" width="3.28515625" customWidth="1"/>
    <col min="6" max="6" width="6.7109375" customWidth="1"/>
    <col min="7" max="7" width="5.42578125" customWidth="1"/>
    <col min="8" max="8" width="5.28515625" customWidth="1"/>
    <col min="9" max="9" width="7.7109375" customWidth="1"/>
    <col min="10" max="10" width="15.140625" customWidth="1"/>
    <col min="11" max="11" width="16.5703125" customWidth="1"/>
    <col min="12" max="12" width="17.85546875" customWidth="1"/>
    <col min="13" max="13" width="1.140625" customWidth="1"/>
    <col min="14" max="242" width="9.140625" customWidth="1"/>
  </cols>
  <sheetData>
    <row r="1" spans="1:13" ht="12.75" customHeight="1" x14ac:dyDescent="0.25">
      <c r="A1" s="316"/>
      <c r="B1" s="317"/>
      <c r="C1" s="317"/>
      <c r="D1" s="317"/>
      <c r="E1" s="317"/>
      <c r="F1" s="317"/>
      <c r="G1" s="317"/>
      <c r="H1" s="317"/>
      <c r="I1" s="317"/>
      <c r="J1" s="317"/>
      <c r="K1" s="318"/>
      <c r="L1" s="203"/>
      <c r="M1" s="203"/>
    </row>
    <row r="2" spans="1:13" ht="12.75" customHeight="1" x14ac:dyDescent="0.25">
      <c r="A2" s="316"/>
      <c r="B2" s="317"/>
      <c r="C2" s="317"/>
      <c r="D2" s="317"/>
      <c r="E2" s="317"/>
      <c r="F2" s="317"/>
      <c r="G2" s="317"/>
      <c r="H2" s="317"/>
      <c r="I2" s="203"/>
      <c r="J2" s="319" t="s">
        <v>516</v>
      </c>
      <c r="K2" s="318"/>
      <c r="L2" s="203"/>
      <c r="M2" s="203"/>
    </row>
    <row r="3" spans="1:13" ht="12.75" customHeight="1" x14ac:dyDescent="0.25">
      <c r="A3" s="316"/>
      <c r="B3" s="317"/>
      <c r="C3" s="317"/>
      <c r="D3" s="317"/>
      <c r="E3" s="317"/>
      <c r="F3" s="317"/>
      <c r="G3" s="317"/>
      <c r="H3" s="317"/>
      <c r="I3" s="203"/>
      <c r="J3" s="319" t="s">
        <v>75</v>
      </c>
      <c r="K3" s="318"/>
      <c r="L3" s="203"/>
      <c r="M3" s="203"/>
    </row>
    <row r="4" spans="1:13" ht="12.75" customHeight="1" x14ac:dyDescent="0.25">
      <c r="A4" s="316"/>
      <c r="B4" s="317"/>
      <c r="C4" s="317"/>
      <c r="D4" s="317"/>
      <c r="E4" s="317"/>
      <c r="F4" s="317"/>
      <c r="G4" s="317"/>
      <c r="H4" s="317"/>
      <c r="I4" s="203"/>
      <c r="J4" s="319" t="s">
        <v>74</v>
      </c>
      <c r="K4" s="318"/>
      <c r="L4" s="204"/>
      <c r="M4" s="203"/>
    </row>
    <row r="5" spans="1:13" ht="12.75" customHeight="1" x14ac:dyDescent="0.25">
      <c r="A5" s="316"/>
      <c r="B5" s="449" t="s">
        <v>568</v>
      </c>
      <c r="C5" s="450"/>
      <c r="D5" s="450"/>
      <c r="E5" s="450"/>
      <c r="F5" s="450"/>
      <c r="G5" s="450"/>
      <c r="H5" s="450"/>
      <c r="I5" s="203"/>
      <c r="J5" s="319" t="s">
        <v>585</v>
      </c>
      <c r="K5" s="320"/>
      <c r="L5" s="205"/>
      <c r="M5" s="203"/>
    </row>
    <row r="6" spans="1:13" ht="12.75" customHeight="1" x14ac:dyDescent="0.25">
      <c r="A6" s="316"/>
      <c r="B6" s="317"/>
      <c r="C6" s="317"/>
      <c r="D6" s="317"/>
      <c r="E6" s="317"/>
      <c r="F6" s="317"/>
      <c r="G6" s="317"/>
      <c r="H6" s="317"/>
      <c r="I6" s="203"/>
      <c r="J6" s="319" t="s">
        <v>586</v>
      </c>
      <c r="K6" s="318"/>
      <c r="L6" s="203"/>
      <c r="M6" s="203"/>
    </row>
    <row r="7" spans="1:13" ht="12.75" hidden="1" customHeight="1" x14ac:dyDescent="0.25">
      <c r="A7" s="316"/>
      <c r="B7" s="317"/>
      <c r="C7" s="317"/>
      <c r="D7" s="317"/>
      <c r="E7" s="317"/>
      <c r="F7" s="317"/>
      <c r="G7" s="317"/>
      <c r="H7" s="317"/>
      <c r="I7" s="317"/>
      <c r="J7" s="317"/>
      <c r="K7" s="318"/>
      <c r="L7" s="204"/>
      <c r="M7" s="203"/>
    </row>
    <row r="8" spans="1:13" ht="11.25" customHeight="1" x14ac:dyDescent="0.25">
      <c r="A8" s="321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3"/>
    </row>
    <row r="9" spans="1:13" ht="6.75" hidden="1" customHeight="1" x14ac:dyDescent="0.25">
      <c r="A9" s="322" t="s">
        <v>636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3"/>
    </row>
    <row r="10" spans="1:13" ht="56.25" customHeight="1" x14ac:dyDescent="0.25">
      <c r="A10" s="480" t="s">
        <v>643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203"/>
    </row>
    <row r="11" spans="1:13" ht="12.75" customHeight="1" thickBot="1" x14ac:dyDescent="0.3">
      <c r="A11" s="321"/>
      <c r="B11" s="325"/>
      <c r="C11" s="325"/>
      <c r="D11" s="325"/>
      <c r="E11" s="325"/>
      <c r="F11" s="325"/>
      <c r="G11" s="325"/>
      <c r="H11" s="325"/>
      <c r="I11" s="325"/>
      <c r="J11" s="325"/>
      <c r="K11" s="326"/>
      <c r="L11" s="327" t="s">
        <v>73</v>
      </c>
      <c r="M11" s="203"/>
    </row>
    <row r="12" spans="1:13" ht="42" customHeight="1" x14ac:dyDescent="0.25">
      <c r="A12" s="328"/>
      <c r="B12" s="329" t="s">
        <v>72</v>
      </c>
      <c r="C12" s="451" t="s">
        <v>68</v>
      </c>
      <c r="D12" s="451"/>
      <c r="E12" s="451"/>
      <c r="F12" s="451"/>
      <c r="G12" s="330" t="s">
        <v>70</v>
      </c>
      <c r="H12" s="331" t="s">
        <v>69</v>
      </c>
      <c r="I12" s="330" t="s">
        <v>67</v>
      </c>
      <c r="J12" s="331" t="s">
        <v>382</v>
      </c>
      <c r="K12" s="329" t="s">
        <v>384</v>
      </c>
      <c r="L12" s="332" t="s">
        <v>569</v>
      </c>
      <c r="M12" s="204"/>
    </row>
    <row r="13" spans="1:13" ht="16.5" customHeight="1" x14ac:dyDescent="0.25">
      <c r="A13" s="333"/>
      <c r="B13" s="334" t="s">
        <v>320</v>
      </c>
      <c r="C13" s="335" t="s">
        <v>44</v>
      </c>
      <c r="D13" s="336" t="s">
        <v>5</v>
      </c>
      <c r="E13" s="335" t="s">
        <v>4</v>
      </c>
      <c r="F13" s="337" t="s">
        <v>3</v>
      </c>
      <c r="G13" s="338" t="s">
        <v>1</v>
      </c>
      <c r="H13" s="338" t="s">
        <v>1</v>
      </c>
      <c r="I13" s="339" t="s">
        <v>1</v>
      </c>
      <c r="J13" s="340">
        <f>25900/1000</f>
        <v>25.9</v>
      </c>
      <c r="K13" s="340">
        <f>26900/1000</f>
        <v>26.9</v>
      </c>
      <c r="L13" s="341">
        <f>26900/1000</f>
        <v>26.9</v>
      </c>
      <c r="M13" s="204"/>
    </row>
    <row r="14" spans="1:13" ht="15" customHeight="1" x14ac:dyDescent="0.25">
      <c r="A14" s="333"/>
      <c r="B14" s="342" t="s">
        <v>612</v>
      </c>
      <c r="C14" s="343" t="s">
        <v>44</v>
      </c>
      <c r="D14" s="344" t="s">
        <v>5</v>
      </c>
      <c r="E14" s="343" t="s">
        <v>4</v>
      </c>
      <c r="F14" s="345" t="s">
        <v>613</v>
      </c>
      <c r="G14" s="346" t="s">
        <v>1</v>
      </c>
      <c r="H14" s="346" t="s">
        <v>1</v>
      </c>
      <c r="I14" s="347" t="s">
        <v>1</v>
      </c>
      <c r="J14" s="348">
        <f>25900/1000</f>
        <v>25.9</v>
      </c>
      <c r="K14" s="340">
        <f t="shared" ref="K14:L16" si="0">26900/1000</f>
        <v>26.9</v>
      </c>
      <c r="L14" s="349">
        <f>26900/1000</f>
        <v>26.9</v>
      </c>
      <c r="M14" s="204"/>
    </row>
    <row r="15" spans="1:13" ht="19.5" customHeight="1" x14ac:dyDescent="0.25">
      <c r="A15" s="333"/>
      <c r="B15" s="350" t="s">
        <v>45</v>
      </c>
      <c r="C15" s="343" t="s">
        <v>44</v>
      </c>
      <c r="D15" s="344" t="s">
        <v>5</v>
      </c>
      <c r="E15" s="343" t="s">
        <v>4</v>
      </c>
      <c r="F15" s="345" t="s">
        <v>613</v>
      </c>
      <c r="G15" s="346">
        <v>3</v>
      </c>
      <c r="H15" s="346">
        <v>4</v>
      </c>
      <c r="I15" s="347" t="s">
        <v>1</v>
      </c>
      <c r="J15" s="348">
        <f t="shared" ref="J15:J16" si="1">25900/1000</f>
        <v>25.9</v>
      </c>
      <c r="K15" s="340">
        <f t="shared" si="0"/>
        <v>26.9</v>
      </c>
      <c r="L15" s="349">
        <f t="shared" si="0"/>
        <v>26.9</v>
      </c>
      <c r="M15" s="204"/>
    </row>
    <row r="16" spans="1:13" ht="15" customHeight="1" x14ac:dyDescent="0.25">
      <c r="A16" s="333"/>
      <c r="B16" s="351" t="s">
        <v>22</v>
      </c>
      <c r="C16" s="352" t="s">
        <v>44</v>
      </c>
      <c r="D16" s="353" t="s">
        <v>5</v>
      </c>
      <c r="E16" s="352" t="s">
        <v>4</v>
      </c>
      <c r="F16" s="354" t="s">
        <v>613</v>
      </c>
      <c r="G16" s="355">
        <v>3</v>
      </c>
      <c r="H16" s="355">
        <v>4</v>
      </c>
      <c r="I16" s="356" t="s">
        <v>19</v>
      </c>
      <c r="J16" s="411">
        <f t="shared" si="1"/>
        <v>25.9</v>
      </c>
      <c r="K16" s="412">
        <f t="shared" si="0"/>
        <v>26.9</v>
      </c>
      <c r="L16" s="411">
        <f t="shared" si="0"/>
        <v>26.9</v>
      </c>
      <c r="M16" s="204"/>
    </row>
    <row r="17" spans="1:13" ht="29.25" customHeight="1" x14ac:dyDescent="0.25">
      <c r="A17" s="333"/>
      <c r="B17" s="359" t="s">
        <v>626</v>
      </c>
      <c r="C17" s="360" t="s">
        <v>14</v>
      </c>
      <c r="D17" s="361" t="s">
        <v>5</v>
      </c>
      <c r="E17" s="360" t="s">
        <v>4</v>
      </c>
      <c r="F17" s="362" t="s">
        <v>3</v>
      </c>
      <c r="G17" s="363" t="s">
        <v>1</v>
      </c>
      <c r="H17" s="363" t="s">
        <v>1</v>
      </c>
      <c r="I17" s="364" t="s">
        <v>1</v>
      </c>
      <c r="J17" s="412">
        <f>3901270/1000</f>
        <v>3901.27</v>
      </c>
      <c r="K17" s="365">
        <f t="shared" ref="K17:L19" si="2">3542270/1000</f>
        <v>3542.27</v>
      </c>
      <c r="L17" s="366">
        <f t="shared" si="2"/>
        <v>3542.27</v>
      </c>
      <c r="M17" s="204"/>
    </row>
    <row r="18" spans="1:13" ht="15" customHeight="1" x14ac:dyDescent="0.25">
      <c r="A18" s="333"/>
      <c r="B18" s="367" t="s">
        <v>588</v>
      </c>
      <c r="C18" s="368" t="s">
        <v>14</v>
      </c>
      <c r="D18" s="369" t="s">
        <v>31</v>
      </c>
      <c r="E18" s="368" t="s">
        <v>4</v>
      </c>
      <c r="F18" s="370" t="s">
        <v>3</v>
      </c>
      <c r="G18" s="371" t="s">
        <v>1</v>
      </c>
      <c r="H18" s="371" t="s">
        <v>1</v>
      </c>
      <c r="I18" s="372" t="s">
        <v>1</v>
      </c>
      <c r="J18" s="365">
        <f>3901270/1000</f>
        <v>3901.27</v>
      </c>
      <c r="K18" s="373">
        <f t="shared" si="2"/>
        <v>3542.27</v>
      </c>
      <c r="L18" s="374">
        <f t="shared" si="2"/>
        <v>3542.27</v>
      </c>
      <c r="M18" s="204"/>
    </row>
    <row r="19" spans="1:13" ht="15" customHeight="1" x14ac:dyDescent="0.25">
      <c r="A19" s="333"/>
      <c r="B19" s="342" t="s">
        <v>627</v>
      </c>
      <c r="C19" s="343" t="s">
        <v>14</v>
      </c>
      <c r="D19" s="344" t="s">
        <v>31</v>
      </c>
      <c r="E19" s="343" t="s">
        <v>30</v>
      </c>
      <c r="F19" s="345" t="s">
        <v>3</v>
      </c>
      <c r="G19" s="346" t="s">
        <v>1</v>
      </c>
      <c r="H19" s="346" t="s">
        <v>1</v>
      </c>
      <c r="I19" s="347" t="s">
        <v>1</v>
      </c>
      <c r="J19" s="348">
        <f>3901270/1000</f>
        <v>3901.27</v>
      </c>
      <c r="K19" s="348">
        <f t="shared" si="2"/>
        <v>3542.27</v>
      </c>
      <c r="L19" s="349">
        <f t="shared" si="2"/>
        <v>3542.27</v>
      </c>
      <c r="M19" s="204"/>
    </row>
    <row r="20" spans="1:13" ht="15" customHeight="1" x14ac:dyDescent="0.25">
      <c r="A20" s="333"/>
      <c r="B20" s="342" t="s">
        <v>377</v>
      </c>
      <c r="C20" s="343" t="s">
        <v>14</v>
      </c>
      <c r="D20" s="344" t="s">
        <v>31</v>
      </c>
      <c r="E20" s="343" t="s">
        <v>30</v>
      </c>
      <c r="F20" s="345" t="s">
        <v>628</v>
      </c>
      <c r="G20" s="346" t="s">
        <v>1</v>
      </c>
      <c r="H20" s="346" t="s">
        <v>1</v>
      </c>
      <c r="I20" s="347" t="s">
        <v>1</v>
      </c>
      <c r="J20" s="348">
        <f>359000/1000</f>
        <v>359</v>
      </c>
      <c r="K20" s="348">
        <v>0</v>
      </c>
      <c r="L20" s="349">
        <v>0</v>
      </c>
      <c r="M20" s="204"/>
    </row>
    <row r="21" spans="1:13" ht="15" customHeight="1" x14ac:dyDescent="0.25">
      <c r="A21" s="333"/>
      <c r="B21" s="350" t="s">
        <v>17</v>
      </c>
      <c r="C21" s="343" t="s">
        <v>14</v>
      </c>
      <c r="D21" s="344" t="s">
        <v>31</v>
      </c>
      <c r="E21" s="343" t="s">
        <v>30</v>
      </c>
      <c r="F21" s="345" t="s">
        <v>628</v>
      </c>
      <c r="G21" s="346">
        <v>8</v>
      </c>
      <c r="H21" s="346">
        <v>1</v>
      </c>
      <c r="I21" s="347" t="s">
        <v>1</v>
      </c>
      <c r="J21" s="348">
        <f>359000/1000</f>
        <v>359</v>
      </c>
      <c r="K21" s="348">
        <v>0</v>
      </c>
      <c r="L21" s="349">
        <v>0</v>
      </c>
      <c r="M21" s="204"/>
    </row>
    <row r="22" spans="1:13" ht="15" customHeight="1" x14ac:dyDescent="0.25">
      <c r="A22" s="333"/>
      <c r="B22" s="351" t="s">
        <v>15</v>
      </c>
      <c r="C22" s="352" t="s">
        <v>14</v>
      </c>
      <c r="D22" s="353" t="s">
        <v>31</v>
      </c>
      <c r="E22" s="352" t="s">
        <v>30</v>
      </c>
      <c r="F22" s="354" t="s">
        <v>628</v>
      </c>
      <c r="G22" s="355">
        <v>8</v>
      </c>
      <c r="H22" s="355">
        <v>1</v>
      </c>
      <c r="I22" s="356" t="s">
        <v>12</v>
      </c>
      <c r="J22" s="357">
        <f>359000/1000</f>
        <v>359</v>
      </c>
      <c r="K22" s="357">
        <v>0</v>
      </c>
      <c r="L22" s="358">
        <v>0</v>
      </c>
      <c r="M22" s="204"/>
    </row>
    <row r="23" spans="1:13" ht="15" customHeight="1" x14ac:dyDescent="0.25">
      <c r="A23" s="333"/>
      <c r="B23" s="375" t="s">
        <v>16</v>
      </c>
      <c r="C23" s="376" t="s">
        <v>14</v>
      </c>
      <c r="D23" s="377" t="s">
        <v>31</v>
      </c>
      <c r="E23" s="376" t="s">
        <v>30</v>
      </c>
      <c r="F23" s="378" t="s">
        <v>13</v>
      </c>
      <c r="G23" s="379" t="s">
        <v>1</v>
      </c>
      <c r="H23" s="379" t="s">
        <v>1</v>
      </c>
      <c r="I23" s="380" t="s">
        <v>1</v>
      </c>
      <c r="J23" s="411">
        <f>3534970/1000</f>
        <v>3534.97</v>
      </c>
      <c r="K23" s="411">
        <f>3534970/1000</f>
        <v>3534.97</v>
      </c>
      <c r="L23" s="411">
        <f>3534970/1000</f>
        <v>3534.97</v>
      </c>
      <c r="M23" s="204"/>
    </row>
    <row r="24" spans="1:13" ht="29.25" customHeight="1" x14ac:dyDescent="0.25">
      <c r="A24" s="333"/>
      <c r="B24" s="350" t="s">
        <v>17</v>
      </c>
      <c r="C24" s="343" t="s">
        <v>14</v>
      </c>
      <c r="D24" s="344" t="s">
        <v>31</v>
      </c>
      <c r="E24" s="343" t="s">
        <v>30</v>
      </c>
      <c r="F24" s="345" t="s">
        <v>13</v>
      </c>
      <c r="G24" s="346">
        <v>8</v>
      </c>
      <c r="H24" s="346">
        <v>1</v>
      </c>
      <c r="I24" s="347" t="s">
        <v>1</v>
      </c>
      <c r="J24" s="413">
        <f t="shared" ref="J24:L25" si="3">3534970/1000</f>
        <v>3534.97</v>
      </c>
      <c r="K24" s="411">
        <f t="shared" si="3"/>
        <v>3534.97</v>
      </c>
      <c r="L24" s="411">
        <f t="shared" si="3"/>
        <v>3534.97</v>
      </c>
      <c r="M24" s="204"/>
    </row>
    <row r="25" spans="1:13" ht="15" customHeight="1" x14ac:dyDescent="0.25">
      <c r="A25" s="333"/>
      <c r="B25" s="351" t="s">
        <v>15</v>
      </c>
      <c r="C25" s="352" t="s">
        <v>14</v>
      </c>
      <c r="D25" s="353" t="s">
        <v>31</v>
      </c>
      <c r="E25" s="352" t="s">
        <v>30</v>
      </c>
      <c r="F25" s="354" t="s">
        <v>13</v>
      </c>
      <c r="G25" s="355">
        <v>8</v>
      </c>
      <c r="H25" s="355">
        <v>1</v>
      </c>
      <c r="I25" s="356" t="s">
        <v>12</v>
      </c>
      <c r="J25" s="411">
        <f t="shared" si="3"/>
        <v>3534.97</v>
      </c>
      <c r="K25" s="411">
        <f t="shared" si="3"/>
        <v>3534.97</v>
      </c>
      <c r="L25" s="411">
        <f t="shared" si="3"/>
        <v>3534.97</v>
      </c>
      <c r="M25" s="204"/>
    </row>
    <row r="26" spans="1:13" ht="15" customHeight="1" x14ac:dyDescent="0.25">
      <c r="A26" s="333"/>
      <c r="B26" s="375" t="s">
        <v>610</v>
      </c>
      <c r="C26" s="376" t="s">
        <v>14</v>
      </c>
      <c r="D26" s="377" t="s">
        <v>31</v>
      </c>
      <c r="E26" s="376" t="s">
        <v>30</v>
      </c>
      <c r="F26" s="378" t="s">
        <v>364</v>
      </c>
      <c r="G26" s="379" t="s">
        <v>1</v>
      </c>
      <c r="H26" s="379" t="s">
        <v>1</v>
      </c>
      <c r="I26" s="380" t="s">
        <v>1</v>
      </c>
      <c r="J26" s="411">
        <f>7300/1000</f>
        <v>7.3</v>
      </c>
      <c r="K26" s="411">
        <f>7300/1000</f>
        <v>7.3</v>
      </c>
      <c r="L26" s="411">
        <f>7300/1000</f>
        <v>7.3</v>
      </c>
      <c r="M26" s="204"/>
    </row>
    <row r="27" spans="1:13" ht="21.75" customHeight="1" x14ac:dyDescent="0.25">
      <c r="A27" s="333"/>
      <c r="B27" s="350" t="s">
        <v>17</v>
      </c>
      <c r="C27" s="343" t="s">
        <v>14</v>
      </c>
      <c r="D27" s="344" t="s">
        <v>31</v>
      </c>
      <c r="E27" s="343" t="s">
        <v>30</v>
      </c>
      <c r="F27" s="345" t="s">
        <v>364</v>
      </c>
      <c r="G27" s="346">
        <v>8</v>
      </c>
      <c r="H27" s="346">
        <v>1</v>
      </c>
      <c r="I27" s="347" t="s">
        <v>1</v>
      </c>
      <c r="J27" s="411">
        <f t="shared" ref="J27:L28" si="4">7300/1000</f>
        <v>7.3</v>
      </c>
      <c r="K27" s="411">
        <f t="shared" si="4"/>
        <v>7.3</v>
      </c>
      <c r="L27" s="411">
        <f t="shared" si="4"/>
        <v>7.3</v>
      </c>
      <c r="M27" s="204"/>
    </row>
    <row r="28" spans="1:13" ht="24.75" customHeight="1" x14ac:dyDescent="0.25">
      <c r="A28" s="333"/>
      <c r="B28" s="351" t="s">
        <v>15</v>
      </c>
      <c r="C28" s="352" t="s">
        <v>14</v>
      </c>
      <c r="D28" s="353" t="s">
        <v>31</v>
      </c>
      <c r="E28" s="352" t="s">
        <v>30</v>
      </c>
      <c r="F28" s="354" t="s">
        <v>364</v>
      </c>
      <c r="G28" s="355">
        <v>8</v>
      </c>
      <c r="H28" s="355">
        <v>1</v>
      </c>
      <c r="I28" s="356" t="s">
        <v>12</v>
      </c>
      <c r="J28" s="411">
        <f t="shared" si="4"/>
        <v>7.3</v>
      </c>
      <c r="K28" s="411">
        <f t="shared" si="4"/>
        <v>7.3</v>
      </c>
      <c r="L28" s="411">
        <f t="shared" si="4"/>
        <v>7.3</v>
      </c>
      <c r="M28" s="204"/>
    </row>
    <row r="29" spans="1:13" ht="66.75" customHeight="1" x14ac:dyDescent="0.25">
      <c r="A29" s="333"/>
      <c r="B29" s="359" t="s">
        <v>614</v>
      </c>
      <c r="C29" s="360" t="s">
        <v>7</v>
      </c>
      <c r="D29" s="361" t="s">
        <v>5</v>
      </c>
      <c r="E29" s="360" t="s">
        <v>4</v>
      </c>
      <c r="F29" s="362" t="s">
        <v>3</v>
      </c>
      <c r="G29" s="363" t="s">
        <v>1</v>
      </c>
      <c r="H29" s="363" t="s">
        <v>1</v>
      </c>
      <c r="I29" s="364" t="s">
        <v>1</v>
      </c>
      <c r="J29" s="365">
        <f>6395670/1000</f>
        <v>6395.67</v>
      </c>
      <c r="K29" s="365">
        <f>5439027.05/1000</f>
        <v>5439.0270499999997</v>
      </c>
      <c r="L29" s="366">
        <f>5953047.08/1000</f>
        <v>5953.0470800000003</v>
      </c>
      <c r="M29" s="204"/>
    </row>
    <row r="30" spans="1:13" ht="24.75" customHeight="1" x14ac:dyDescent="0.25">
      <c r="A30" s="333"/>
      <c r="B30" s="367" t="s">
        <v>588</v>
      </c>
      <c r="C30" s="368" t="s">
        <v>7</v>
      </c>
      <c r="D30" s="369" t="s">
        <v>31</v>
      </c>
      <c r="E30" s="368" t="s">
        <v>4</v>
      </c>
      <c r="F30" s="370" t="s">
        <v>3</v>
      </c>
      <c r="G30" s="371" t="s">
        <v>1</v>
      </c>
      <c r="H30" s="371" t="s">
        <v>1</v>
      </c>
      <c r="I30" s="372" t="s">
        <v>1</v>
      </c>
      <c r="J30" s="373">
        <f>6395670/1000</f>
        <v>6395.67</v>
      </c>
      <c r="K30" s="373">
        <f>5439027.05/1000</f>
        <v>5439.0270499999997</v>
      </c>
      <c r="L30" s="374">
        <f>5953047.08/1000</f>
        <v>5953.0470800000003</v>
      </c>
      <c r="M30" s="204"/>
    </row>
    <row r="31" spans="1:13" ht="44.25" customHeight="1" x14ac:dyDescent="0.25">
      <c r="A31" s="333"/>
      <c r="B31" s="342" t="s">
        <v>619</v>
      </c>
      <c r="C31" s="343" t="s">
        <v>7</v>
      </c>
      <c r="D31" s="344" t="s">
        <v>31</v>
      </c>
      <c r="E31" s="343" t="s">
        <v>6</v>
      </c>
      <c r="F31" s="345" t="s">
        <v>3</v>
      </c>
      <c r="G31" s="346" t="s">
        <v>1</v>
      </c>
      <c r="H31" s="346" t="s">
        <v>1</v>
      </c>
      <c r="I31" s="347" t="s">
        <v>1</v>
      </c>
      <c r="J31" s="348">
        <f>260000/1000</f>
        <v>260</v>
      </c>
      <c r="K31" s="348">
        <f>60000/1000</f>
        <v>60</v>
      </c>
      <c r="L31" s="349">
        <f>260000/1000</f>
        <v>260</v>
      </c>
      <c r="M31" s="204"/>
    </row>
    <row r="32" spans="1:13" ht="26.25" customHeight="1" x14ac:dyDescent="0.25">
      <c r="A32" s="333"/>
      <c r="B32" s="342" t="s">
        <v>620</v>
      </c>
      <c r="C32" s="343" t="s">
        <v>7</v>
      </c>
      <c r="D32" s="344" t="s">
        <v>31</v>
      </c>
      <c r="E32" s="343" t="s">
        <v>6</v>
      </c>
      <c r="F32" s="345" t="s">
        <v>621</v>
      </c>
      <c r="G32" s="346" t="s">
        <v>1</v>
      </c>
      <c r="H32" s="346" t="s">
        <v>1</v>
      </c>
      <c r="I32" s="347" t="s">
        <v>1</v>
      </c>
      <c r="J32" s="348">
        <f t="shared" ref="J32:J34" si="5">260000/1000</f>
        <v>260</v>
      </c>
      <c r="K32" s="348">
        <f t="shared" ref="K32:K34" si="6">60000/1000</f>
        <v>60</v>
      </c>
      <c r="L32" s="349">
        <f>260000/1000</f>
        <v>260</v>
      </c>
      <c r="M32" s="204"/>
    </row>
    <row r="33" spans="1:13" ht="19.5" customHeight="1" x14ac:dyDescent="0.25">
      <c r="A33" s="333"/>
      <c r="B33" s="350" t="s">
        <v>35</v>
      </c>
      <c r="C33" s="343" t="s">
        <v>7</v>
      </c>
      <c r="D33" s="344" t="s">
        <v>31</v>
      </c>
      <c r="E33" s="343" t="s">
        <v>6</v>
      </c>
      <c r="F33" s="345" t="s">
        <v>621</v>
      </c>
      <c r="G33" s="346">
        <v>4</v>
      </c>
      <c r="H33" s="346">
        <v>12</v>
      </c>
      <c r="I33" s="347" t="s">
        <v>1</v>
      </c>
      <c r="J33" s="348">
        <f t="shared" si="5"/>
        <v>260</v>
      </c>
      <c r="K33" s="348">
        <f t="shared" si="6"/>
        <v>60</v>
      </c>
      <c r="L33" s="349">
        <f>260000/1000</f>
        <v>260</v>
      </c>
      <c r="M33" s="204"/>
    </row>
    <row r="34" spans="1:13" ht="15" customHeight="1" x14ac:dyDescent="0.25">
      <c r="A34" s="333"/>
      <c r="B34" s="351" t="s">
        <v>22</v>
      </c>
      <c r="C34" s="352" t="s">
        <v>7</v>
      </c>
      <c r="D34" s="353" t="s">
        <v>31</v>
      </c>
      <c r="E34" s="352" t="s">
        <v>6</v>
      </c>
      <c r="F34" s="354" t="s">
        <v>621</v>
      </c>
      <c r="G34" s="355">
        <v>4</v>
      </c>
      <c r="H34" s="355">
        <v>12</v>
      </c>
      <c r="I34" s="356" t="s">
        <v>19</v>
      </c>
      <c r="J34" s="411">
        <f t="shared" si="5"/>
        <v>260</v>
      </c>
      <c r="K34" s="411">
        <f t="shared" si="6"/>
        <v>60</v>
      </c>
      <c r="L34" s="358">
        <f>260000/1000</f>
        <v>260</v>
      </c>
      <c r="M34" s="204"/>
    </row>
    <row r="35" spans="1:13" ht="29.25" customHeight="1" x14ac:dyDescent="0.25">
      <c r="A35" s="333"/>
      <c r="B35" s="375" t="s">
        <v>617</v>
      </c>
      <c r="C35" s="376" t="s">
        <v>7</v>
      </c>
      <c r="D35" s="377" t="s">
        <v>31</v>
      </c>
      <c r="E35" s="376" t="s">
        <v>30</v>
      </c>
      <c r="F35" s="378" t="s">
        <v>3</v>
      </c>
      <c r="G35" s="379" t="s">
        <v>1</v>
      </c>
      <c r="H35" s="379" t="s">
        <v>1</v>
      </c>
      <c r="I35" s="380" t="s">
        <v>1</v>
      </c>
      <c r="J35" s="411">
        <f>1114520/1000</f>
        <v>1114.52</v>
      </c>
      <c r="K35" s="411">
        <f>1114520/1000</f>
        <v>1114.52</v>
      </c>
      <c r="L35" s="382">
        <f>1114520/1000</f>
        <v>1114.52</v>
      </c>
      <c r="M35" s="204"/>
    </row>
    <row r="36" spans="1:13" ht="15" customHeight="1" x14ac:dyDescent="0.25">
      <c r="A36" s="333"/>
      <c r="B36" s="342" t="s">
        <v>38</v>
      </c>
      <c r="C36" s="343" t="s">
        <v>7</v>
      </c>
      <c r="D36" s="344" t="s">
        <v>31</v>
      </c>
      <c r="E36" s="343" t="s">
        <v>30</v>
      </c>
      <c r="F36" s="345" t="s">
        <v>36</v>
      </c>
      <c r="G36" s="346" t="s">
        <v>1</v>
      </c>
      <c r="H36" s="346" t="s">
        <v>1</v>
      </c>
      <c r="I36" s="347" t="s">
        <v>1</v>
      </c>
      <c r="J36" s="411">
        <f t="shared" ref="J36:L38" si="7">1114520/1000</f>
        <v>1114.52</v>
      </c>
      <c r="K36" s="411">
        <f t="shared" si="7"/>
        <v>1114.52</v>
      </c>
      <c r="L36" s="411">
        <f>1114520/1000</f>
        <v>1114.52</v>
      </c>
      <c r="M36" s="204"/>
    </row>
    <row r="37" spans="1:13" ht="15" customHeight="1" x14ac:dyDescent="0.25">
      <c r="A37" s="333"/>
      <c r="B37" s="350" t="s">
        <v>40</v>
      </c>
      <c r="C37" s="343" t="s">
        <v>7</v>
      </c>
      <c r="D37" s="344" t="s">
        <v>31</v>
      </c>
      <c r="E37" s="343" t="s">
        <v>30</v>
      </c>
      <c r="F37" s="345" t="s">
        <v>36</v>
      </c>
      <c r="G37" s="346">
        <v>4</v>
      </c>
      <c r="H37" s="346">
        <v>9</v>
      </c>
      <c r="I37" s="347" t="s">
        <v>1</v>
      </c>
      <c r="J37" s="411">
        <f t="shared" si="7"/>
        <v>1114.52</v>
      </c>
      <c r="K37" s="411">
        <f t="shared" si="7"/>
        <v>1114.52</v>
      </c>
      <c r="L37" s="411">
        <f t="shared" si="7"/>
        <v>1114.52</v>
      </c>
      <c r="M37" s="204"/>
    </row>
    <row r="38" spans="1:13" ht="15" customHeight="1" x14ac:dyDescent="0.25">
      <c r="A38" s="333"/>
      <c r="B38" s="351" t="s">
        <v>22</v>
      </c>
      <c r="C38" s="352" t="s">
        <v>7</v>
      </c>
      <c r="D38" s="353" t="s">
        <v>31</v>
      </c>
      <c r="E38" s="352" t="s">
        <v>30</v>
      </c>
      <c r="F38" s="354" t="s">
        <v>36</v>
      </c>
      <c r="G38" s="355">
        <v>4</v>
      </c>
      <c r="H38" s="355">
        <v>9</v>
      </c>
      <c r="I38" s="356" t="s">
        <v>19</v>
      </c>
      <c r="J38" s="413">
        <f t="shared" si="7"/>
        <v>1114.52</v>
      </c>
      <c r="K38" s="411">
        <f t="shared" si="7"/>
        <v>1114.52</v>
      </c>
      <c r="L38" s="411">
        <f t="shared" si="7"/>
        <v>1114.52</v>
      </c>
      <c r="M38" s="204"/>
    </row>
    <row r="39" spans="1:13" ht="15" customHeight="1" x14ac:dyDescent="0.25">
      <c r="A39" s="333"/>
      <c r="B39" s="375" t="s">
        <v>622</v>
      </c>
      <c r="C39" s="376" t="s">
        <v>7</v>
      </c>
      <c r="D39" s="377" t="s">
        <v>31</v>
      </c>
      <c r="E39" s="376" t="s">
        <v>21</v>
      </c>
      <c r="F39" s="378" t="s">
        <v>3</v>
      </c>
      <c r="G39" s="379" t="s">
        <v>1</v>
      </c>
      <c r="H39" s="379" t="s">
        <v>1</v>
      </c>
      <c r="I39" s="380" t="s">
        <v>1</v>
      </c>
      <c r="J39" s="411">
        <f>4800/1000</f>
        <v>4.8</v>
      </c>
      <c r="K39" s="411">
        <f>4800/1000</f>
        <v>4.8</v>
      </c>
      <c r="L39" s="411">
        <f>4800/1000</f>
        <v>4.8</v>
      </c>
      <c r="M39" s="204"/>
    </row>
    <row r="40" spans="1:13" ht="15" customHeight="1" x14ac:dyDescent="0.25">
      <c r="A40" s="333"/>
      <c r="B40" s="342" t="s">
        <v>32</v>
      </c>
      <c r="C40" s="343" t="s">
        <v>7</v>
      </c>
      <c r="D40" s="344" t="s">
        <v>31</v>
      </c>
      <c r="E40" s="343" t="s">
        <v>21</v>
      </c>
      <c r="F40" s="345" t="s">
        <v>29</v>
      </c>
      <c r="G40" s="346" t="s">
        <v>1</v>
      </c>
      <c r="H40" s="346" t="s">
        <v>1</v>
      </c>
      <c r="I40" s="347" t="s">
        <v>1</v>
      </c>
      <c r="J40" s="405">
        <f t="shared" ref="J40:L42" si="8">4800/1000</f>
        <v>4.8</v>
      </c>
      <c r="K40" s="411">
        <f t="shared" si="8"/>
        <v>4.8</v>
      </c>
      <c r="L40" s="411">
        <f t="shared" si="8"/>
        <v>4.8</v>
      </c>
      <c r="M40" s="204"/>
    </row>
    <row r="41" spans="1:13" ht="15" customHeight="1" x14ac:dyDescent="0.25">
      <c r="A41" s="333"/>
      <c r="B41" s="350" t="s">
        <v>33</v>
      </c>
      <c r="C41" s="343" t="s">
        <v>7</v>
      </c>
      <c r="D41" s="344" t="s">
        <v>31</v>
      </c>
      <c r="E41" s="343" t="s">
        <v>21</v>
      </c>
      <c r="F41" s="345" t="s">
        <v>29</v>
      </c>
      <c r="G41" s="346">
        <v>5</v>
      </c>
      <c r="H41" s="346">
        <v>1</v>
      </c>
      <c r="I41" s="347" t="s">
        <v>1</v>
      </c>
      <c r="J41" s="405">
        <f t="shared" si="8"/>
        <v>4.8</v>
      </c>
      <c r="K41" s="411">
        <f t="shared" si="8"/>
        <v>4.8</v>
      </c>
      <c r="L41" s="411">
        <f t="shared" si="8"/>
        <v>4.8</v>
      </c>
      <c r="M41" s="204"/>
    </row>
    <row r="42" spans="1:13" ht="15" customHeight="1" x14ac:dyDescent="0.25">
      <c r="A42" s="333"/>
      <c r="B42" s="351" t="s">
        <v>22</v>
      </c>
      <c r="C42" s="352" t="s">
        <v>7</v>
      </c>
      <c r="D42" s="353" t="s">
        <v>31</v>
      </c>
      <c r="E42" s="352" t="s">
        <v>21</v>
      </c>
      <c r="F42" s="354" t="s">
        <v>29</v>
      </c>
      <c r="G42" s="355">
        <v>5</v>
      </c>
      <c r="H42" s="355">
        <v>1</v>
      </c>
      <c r="I42" s="356" t="s">
        <v>19</v>
      </c>
      <c r="J42" s="407">
        <f t="shared" si="8"/>
        <v>4.8</v>
      </c>
      <c r="K42" s="411">
        <f t="shared" si="8"/>
        <v>4.8</v>
      </c>
      <c r="L42" s="411">
        <f t="shared" si="8"/>
        <v>4.8</v>
      </c>
      <c r="M42" s="204"/>
    </row>
    <row r="43" spans="1:13" ht="15" customHeight="1" x14ac:dyDescent="0.25">
      <c r="A43" s="333"/>
      <c r="B43" s="375" t="s">
        <v>623</v>
      </c>
      <c r="C43" s="376" t="s">
        <v>7</v>
      </c>
      <c r="D43" s="377" t="s">
        <v>31</v>
      </c>
      <c r="E43" s="376" t="s">
        <v>48</v>
      </c>
      <c r="F43" s="378" t="s">
        <v>3</v>
      </c>
      <c r="G43" s="379" t="s">
        <v>1</v>
      </c>
      <c r="H43" s="379" t="s">
        <v>1</v>
      </c>
      <c r="I43" s="380" t="s">
        <v>1</v>
      </c>
      <c r="J43" s="381">
        <f>1022500/1000</f>
        <v>1022.5</v>
      </c>
      <c r="K43" s="411">
        <f>1022500/1000</f>
        <v>1022.5</v>
      </c>
      <c r="L43" s="411">
        <f>1022500/1000</f>
        <v>1022.5</v>
      </c>
      <c r="M43" s="204"/>
    </row>
    <row r="44" spans="1:13" ht="30" customHeight="1" x14ac:dyDescent="0.25">
      <c r="A44" s="333"/>
      <c r="B44" s="342" t="s">
        <v>27</v>
      </c>
      <c r="C44" s="343" t="s">
        <v>7</v>
      </c>
      <c r="D44" s="344" t="s">
        <v>31</v>
      </c>
      <c r="E44" s="343" t="s">
        <v>48</v>
      </c>
      <c r="F44" s="345" t="s">
        <v>26</v>
      </c>
      <c r="G44" s="346" t="s">
        <v>1</v>
      </c>
      <c r="H44" s="346" t="s">
        <v>1</v>
      </c>
      <c r="I44" s="347" t="s">
        <v>1</v>
      </c>
      <c r="J44" s="348">
        <f>1022500/1000</f>
        <v>1022.5</v>
      </c>
      <c r="K44" s="411">
        <f t="shared" ref="K44:L46" si="9">1022500/1000</f>
        <v>1022.5</v>
      </c>
      <c r="L44" s="411">
        <f t="shared" si="9"/>
        <v>1022.5</v>
      </c>
      <c r="M44" s="204"/>
    </row>
    <row r="45" spans="1:13" ht="15" customHeight="1" x14ac:dyDescent="0.25">
      <c r="A45" s="333"/>
      <c r="B45" s="350" t="s">
        <v>28</v>
      </c>
      <c r="C45" s="343" t="s">
        <v>7</v>
      </c>
      <c r="D45" s="344" t="s">
        <v>31</v>
      </c>
      <c r="E45" s="343" t="s">
        <v>48</v>
      </c>
      <c r="F45" s="345" t="s">
        <v>26</v>
      </c>
      <c r="G45" s="346">
        <v>5</v>
      </c>
      <c r="H45" s="346">
        <v>2</v>
      </c>
      <c r="I45" s="347" t="s">
        <v>1</v>
      </c>
      <c r="J45" s="348">
        <f>1022500/1000</f>
        <v>1022.5</v>
      </c>
      <c r="K45" s="411">
        <f t="shared" si="9"/>
        <v>1022.5</v>
      </c>
      <c r="L45" s="411">
        <f t="shared" si="9"/>
        <v>1022.5</v>
      </c>
      <c r="M45" s="204"/>
    </row>
    <row r="46" spans="1:13" ht="15" customHeight="1" x14ac:dyDescent="0.25">
      <c r="A46" s="333"/>
      <c r="B46" s="351" t="s">
        <v>22</v>
      </c>
      <c r="C46" s="352" t="s">
        <v>7</v>
      </c>
      <c r="D46" s="353" t="s">
        <v>31</v>
      </c>
      <c r="E46" s="352" t="s">
        <v>48</v>
      </c>
      <c r="F46" s="354" t="s">
        <v>26</v>
      </c>
      <c r="G46" s="355">
        <v>5</v>
      </c>
      <c r="H46" s="355">
        <v>2</v>
      </c>
      <c r="I46" s="356" t="s">
        <v>19</v>
      </c>
      <c r="J46" s="357">
        <f>1022500/1000</f>
        <v>1022.5</v>
      </c>
      <c r="K46" s="411">
        <f t="shared" si="9"/>
        <v>1022.5</v>
      </c>
      <c r="L46" s="411">
        <f t="shared" si="9"/>
        <v>1022.5</v>
      </c>
      <c r="M46" s="204"/>
    </row>
    <row r="47" spans="1:13" ht="44.25" customHeight="1" x14ac:dyDescent="0.25">
      <c r="A47" s="333"/>
      <c r="B47" s="375" t="s">
        <v>624</v>
      </c>
      <c r="C47" s="376" t="s">
        <v>7</v>
      </c>
      <c r="D47" s="377" t="s">
        <v>31</v>
      </c>
      <c r="E47" s="376" t="s">
        <v>39</v>
      </c>
      <c r="F47" s="378" t="s">
        <v>3</v>
      </c>
      <c r="G47" s="379" t="s">
        <v>1</v>
      </c>
      <c r="H47" s="379" t="s">
        <v>1</v>
      </c>
      <c r="I47" s="380" t="s">
        <v>1</v>
      </c>
      <c r="J47" s="411">
        <f>1351450/1000</f>
        <v>1351.45</v>
      </c>
      <c r="K47" s="381">
        <f>467067.05/1000</f>
        <v>467.06704999999999</v>
      </c>
      <c r="L47" s="411">
        <f>659017.08/1000</f>
        <v>659.01707999999996</v>
      </c>
      <c r="M47" s="204"/>
    </row>
    <row r="48" spans="1:13" ht="18.75" customHeight="1" x14ac:dyDescent="0.25">
      <c r="A48" s="333"/>
      <c r="B48" s="342" t="s">
        <v>625</v>
      </c>
      <c r="C48" s="343" t="s">
        <v>7</v>
      </c>
      <c r="D48" s="344" t="s">
        <v>31</v>
      </c>
      <c r="E48" s="343" t="s">
        <v>39</v>
      </c>
      <c r="F48" s="345" t="s">
        <v>24</v>
      </c>
      <c r="G48" s="346" t="s">
        <v>1</v>
      </c>
      <c r="H48" s="346" t="s">
        <v>1</v>
      </c>
      <c r="I48" s="347" t="s">
        <v>1</v>
      </c>
      <c r="J48" s="411">
        <f t="shared" ref="J48:J50" si="10">1351450/1000</f>
        <v>1351.45</v>
      </c>
      <c r="K48" s="348">
        <f>467067.05/1000</f>
        <v>467.06704999999999</v>
      </c>
      <c r="L48" s="411">
        <f t="shared" ref="L48:L50" si="11">659017.08/1000</f>
        <v>659.01707999999996</v>
      </c>
      <c r="M48" s="204"/>
    </row>
    <row r="49" spans="1:13" ht="15" customHeight="1" x14ac:dyDescent="0.25">
      <c r="A49" s="333"/>
      <c r="B49" s="350" t="s">
        <v>25</v>
      </c>
      <c r="C49" s="343" t="s">
        <v>7</v>
      </c>
      <c r="D49" s="344" t="s">
        <v>31</v>
      </c>
      <c r="E49" s="343" t="s">
        <v>39</v>
      </c>
      <c r="F49" s="345" t="s">
        <v>24</v>
      </c>
      <c r="G49" s="346">
        <v>5</v>
      </c>
      <c r="H49" s="346">
        <v>3</v>
      </c>
      <c r="I49" s="347" t="s">
        <v>1</v>
      </c>
      <c r="J49" s="411">
        <f t="shared" si="10"/>
        <v>1351.45</v>
      </c>
      <c r="K49" s="348">
        <f t="shared" ref="K49:K50" si="12">467067.05/1000</f>
        <v>467.06704999999999</v>
      </c>
      <c r="L49" s="411">
        <f t="shared" si="11"/>
        <v>659.01707999999996</v>
      </c>
      <c r="M49" s="204"/>
    </row>
    <row r="50" spans="1:13" ht="29.25" customHeight="1" x14ac:dyDescent="0.25">
      <c r="A50" s="333"/>
      <c r="B50" s="351" t="s">
        <v>22</v>
      </c>
      <c r="C50" s="352" t="s">
        <v>7</v>
      </c>
      <c r="D50" s="353" t="s">
        <v>31</v>
      </c>
      <c r="E50" s="352" t="s">
        <v>39</v>
      </c>
      <c r="F50" s="354" t="s">
        <v>24</v>
      </c>
      <c r="G50" s="355">
        <v>5</v>
      </c>
      <c r="H50" s="355">
        <v>3</v>
      </c>
      <c r="I50" s="356" t="s">
        <v>19</v>
      </c>
      <c r="J50" s="411">
        <f t="shared" si="10"/>
        <v>1351.45</v>
      </c>
      <c r="K50" s="411">
        <f t="shared" si="12"/>
        <v>467.06704999999999</v>
      </c>
      <c r="L50" s="411">
        <f t="shared" si="11"/>
        <v>659.01707999999996</v>
      </c>
      <c r="M50" s="204"/>
    </row>
    <row r="51" spans="1:13" ht="29.25" customHeight="1" x14ac:dyDescent="0.25">
      <c r="A51" s="333"/>
      <c r="B51" s="375" t="s">
        <v>618</v>
      </c>
      <c r="C51" s="376" t="s">
        <v>7</v>
      </c>
      <c r="D51" s="377" t="s">
        <v>31</v>
      </c>
      <c r="E51" s="376" t="s">
        <v>37</v>
      </c>
      <c r="F51" s="378" t="s">
        <v>3</v>
      </c>
      <c r="G51" s="379" t="s">
        <v>1</v>
      </c>
      <c r="H51" s="379" t="s">
        <v>1</v>
      </c>
      <c r="I51" s="380" t="s">
        <v>1</v>
      </c>
      <c r="J51" s="381">
        <f>2170000/1000</f>
        <v>2170</v>
      </c>
      <c r="K51" s="381">
        <f>2297740/1000</f>
        <v>2297.7399999999998</v>
      </c>
      <c r="L51" s="382">
        <f>2419810/1000</f>
        <v>2419.81</v>
      </c>
      <c r="M51" s="204"/>
    </row>
    <row r="52" spans="1:13" ht="15" customHeight="1" x14ac:dyDescent="0.25">
      <c r="A52" s="333"/>
      <c r="B52" s="342" t="s">
        <v>23</v>
      </c>
      <c r="C52" s="343" t="s">
        <v>7</v>
      </c>
      <c r="D52" s="344" t="s">
        <v>31</v>
      </c>
      <c r="E52" s="343" t="s">
        <v>37</v>
      </c>
      <c r="F52" s="345" t="s">
        <v>20</v>
      </c>
      <c r="G52" s="346" t="s">
        <v>1</v>
      </c>
      <c r="H52" s="346" t="s">
        <v>1</v>
      </c>
      <c r="I52" s="347" t="s">
        <v>1</v>
      </c>
      <c r="J52" s="348">
        <f>2170000/1000</f>
        <v>2170</v>
      </c>
      <c r="K52" s="348">
        <f>2297740/1000</f>
        <v>2297.7399999999998</v>
      </c>
      <c r="L52" s="349">
        <f>2419810/1000</f>
        <v>2419.81</v>
      </c>
      <c r="M52" s="204"/>
    </row>
    <row r="53" spans="1:13" ht="29.25" customHeight="1" x14ac:dyDescent="0.25">
      <c r="A53" s="333"/>
      <c r="B53" s="350" t="s">
        <v>40</v>
      </c>
      <c r="C53" s="343" t="s">
        <v>7</v>
      </c>
      <c r="D53" s="344" t="s">
        <v>31</v>
      </c>
      <c r="E53" s="343" t="s">
        <v>37</v>
      </c>
      <c r="F53" s="345" t="s">
        <v>20</v>
      </c>
      <c r="G53" s="346">
        <v>4</v>
      </c>
      <c r="H53" s="346">
        <v>9</v>
      </c>
      <c r="I53" s="347" t="s">
        <v>1</v>
      </c>
      <c r="J53" s="348">
        <f>1370000/1000</f>
        <v>1370</v>
      </c>
      <c r="K53" s="348">
        <f>1497740/1000</f>
        <v>1497.74</v>
      </c>
      <c r="L53" s="349">
        <f>1619810/1000</f>
        <v>1619.81</v>
      </c>
      <c r="M53" s="204"/>
    </row>
    <row r="54" spans="1:13" ht="29.25" customHeight="1" x14ac:dyDescent="0.25">
      <c r="A54" s="333"/>
      <c r="B54" s="351" t="s">
        <v>22</v>
      </c>
      <c r="C54" s="352" t="s">
        <v>7</v>
      </c>
      <c r="D54" s="353" t="s">
        <v>31</v>
      </c>
      <c r="E54" s="352" t="s">
        <v>37</v>
      </c>
      <c r="F54" s="354" t="s">
        <v>20</v>
      </c>
      <c r="G54" s="355">
        <v>4</v>
      </c>
      <c r="H54" s="355">
        <v>9</v>
      </c>
      <c r="I54" s="356" t="s">
        <v>19</v>
      </c>
      <c r="J54" s="357">
        <f>1370000/1000</f>
        <v>1370</v>
      </c>
      <c r="K54" s="357">
        <f>1497740/1000</f>
        <v>1497.74</v>
      </c>
      <c r="L54" s="358">
        <f>1619810/1000</f>
        <v>1619.81</v>
      </c>
      <c r="M54" s="204"/>
    </row>
    <row r="55" spans="1:13" ht="29.25" customHeight="1" x14ac:dyDescent="0.25">
      <c r="A55" s="333"/>
      <c r="B55" s="383" t="s">
        <v>25</v>
      </c>
      <c r="C55" s="376" t="s">
        <v>7</v>
      </c>
      <c r="D55" s="377" t="s">
        <v>31</v>
      </c>
      <c r="E55" s="376" t="s">
        <v>37</v>
      </c>
      <c r="F55" s="378" t="s">
        <v>20</v>
      </c>
      <c r="G55" s="379">
        <v>5</v>
      </c>
      <c r="H55" s="379">
        <v>3</v>
      </c>
      <c r="I55" s="380" t="s">
        <v>1</v>
      </c>
      <c r="J55" s="381">
        <f t="shared" ref="J55:L56" si="13">800000/1000</f>
        <v>800</v>
      </c>
      <c r="K55" s="381">
        <f t="shared" si="13"/>
        <v>800</v>
      </c>
      <c r="L55" s="382">
        <f t="shared" si="13"/>
        <v>800</v>
      </c>
      <c r="M55" s="204"/>
    </row>
    <row r="56" spans="1:13" ht="15" customHeight="1" x14ac:dyDescent="0.25">
      <c r="A56" s="333"/>
      <c r="B56" s="351" t="s">
        <v>22</v>
      </c>
      <c r="C56" s="352" t="s">
        <v>7</v>
      </c>
      <c r="D56" s="353" t="s">
        <v>31</v>
      </c>
      <c r="E56" s="352" t="s">
        <v>37</v>
      </c>
      <c r="F56" s="354" t="s">
        <v>20</v>
      </c>
      <c r="G56" s="355">
        <v>5</v>
      </c>
      <c r="H56" s="355">
        <v>3</v>
      </c>
      <c r="I56" s="356" t="s">
        <v>19</v>
      </c>
      <c r="J56" s="357">
        <f t="shared" si="13"/>
        <v>800</v>
      </c>
      <c r="K56" s="357">
        <f t="shared" si="13"/>
        <v>800</v>
      </c>
      <c r="L56" s="358">
        <f t="shared" si="13"/>
        <v>800</v>
      </c>
      <c r="M56" s="204"/>
    </row>
    <row r="57" spans="1:13" ht="30" customHeight="1" x14ac:dyDescent="0.25">
      <c r="A57" s="333"/>
      <c r="B57" s="375" t="s">
        <v>615</v>
      </c>
      <c r="C57" s="376" t="s">
        <v>7</v>
      </c>
      <c r="D57" s="377" t="s">
        <v>31</v>
      </c>
      <c r="E57" s="376" t="s">
        <v>616</v>
      </c>
      <c r="F57" s="378" t="s">
        <v>3</v>
      </c>
      <c r="G57" s="379" t="s">
        <v>1</v>
      </c>
      <c r="H57" s="379" t="s">
        <v>1</v>
      </c>
      <c r="I57" s="380" t="s">
        <v>1</v>
      </c>
      <c r="J57" s="381">
        <f>372400/1000</f>
        <v>372.4</v>
      </c>
      <c r="K57" s="411">
        <f>372400/1000</f>
        <v>372.4</v>
      </c>
      <c r="L57" s="358">
        <f>372400/1000</f>
        <v>372.4</v>
      </c>
      <c r="M57" s="204"/>
    </row>
    <row r="58" spans="1:13" ht="29.25" customHeight="1" x14ac:dyDescent="0.25">
      <c r="A58" s="333"/>
      <c r="B58" s="342" t="s">
        <v>43</v>
      </c>
      <c r="C58" s="343" t="s">
        <v>7</v>
      </c>
      <c r="D58" s="344" t="s">
        <v>31</v>
      </c>
      <c r="E58" s="343" t="s">
        <v>616</v>
      </c>
      <c r="F58" s="345" t="s">
        <v>42</v>
      </c>
      <c r="G58" s="346" t="s">
        <v>1</v>
      </c>
      <c r="H58" s="346" t="s">
        <v>1</v>
      </c>
      <c r="I58" s="347" t="s">
        <v>1</v>
      </c>
      <c r="J58" s="348">
        <f>372400/1000</f>
        <v>372.4</v>
      </c>
      <c r="K58" s="411">
        <f t="shared" ref="K58:L60" si="14">372400/1000</f>
        <v>372.4</v>
      </c>
      <c r="L58" s="358">
        <f t="shared" si="14"/>
        <v>372.4</v>
      </c>
      <c r="M58" s="204"/>
    </row>
    <row r="59" spans="1:13" ht="32.25" customHeight="1" x14ac:dyDescent="0.25">
      <c r="A59" s="333"/>
      <c r="B59" s="350" t="s">
        <v>383</v>
      </c>
      <c r="C59" s="343" t="s">
        <v>7</v>
      </c>
      <c r="D59" s="344" t="s">
        <v>31</v>
      </c>
      <c r="E59" s="343" t="s">
        <v>616</v>
      </c>
      <c r="F59" s="345" t="s">
        <v>42</v>
      </c>
      <c r="G59" s="346">
        <v>3</v>
      </c>
      <c r="H59" s="346">
        <v>10</v>
      </c>
      <c r="I59" s="347" t="s">
        <v>1</v>
      </c>
      <c r="J59" s="348">
        <f>372400/1000</f>
        <v>372.4</v>
      </c>
      <c r="K59" s="411">
        <f t="shared" si="14"/>
        <v>372.4</v>
      </c>
      <c r="L59" s="358">
        <f t="shared" si="14"/>
        <v>372.4</v>
      </c>
      <c r="M59" s="204"/>
    </row>
    <row r="60" spans="1:13" ht="29.25" customHeight="1" x14ac:dyDescent="0.25">
      <c r="A60" s="333"/>
      <c r="B60" s="351" t="s">
        <v>22</v>
      </c>
      <c r="C60" s="352" t="s">
        <v>7</v>
      </c>
      <c r="D60" s="353" t="s">
        <v>31</v>
      </c>
      <c r="E60" s="352" t="s">
        <v>616</v>
      </c>
      <c r="F60" s="354" t="s">
        <v>42</v>
      </c>
      <c r="G60" s="355">
        <v>3</v>
      </c>
      <c r="H60" s="355">
        <v>10</v>
      </c>
      <c r="I60" s="356" t="s">
        <v>19</v>
      </c>
      <c r="J60" s="357">
        <f>372400/1000</f>
        <v>372.4</v>
      </c>
      <c r="K60" s="411">
        <f t="shared" si="14"/>
        <v>372.4</v>
      </c>
      <c r="L60" s="358">
        <f t="shared" si="14"/>
        <v>372.4</v>
      </c>
      <c r="M60" s="204"/>
    </row>
    <row r="61" spans="1:13" ht="37.5" customHeight="1" x14ac:dyDescent="0.25">
      <c r="A61" s="333"/>
      <c r="B61" s="375" t="s">
        <v>632</v>
      </c>
      <c r="C61" s="376" t="s">
        <v>7</v>
      </c>
      <c r="D61" s="377" t="s">
        <v>31</v>
      </c>
      <c r="E61" s="376" t="s">
        <v>633</v>
      </c>
      <c r="F61" s="378" t="s">
        <v>3</v>
      </c>
      <c r="G61" s="379" t="s">
        <v>1</v>
      </c>
      <c r="H61" s="379" t="s">
        <v>1</v>
      </c>
      <c r="I61" s="380" t="s">
        <v>1</v>
      </c>
      <c r="J61" s="411">
        <f>100000/1000</f>
        <v>100</v>
      </c>
      <c r="K61" s="411">
        <f>100000/1000</f>
        <v>100</v>
      </c>
      <c r="L61" s="358">
        <f>100000/1000</f>
        <v>100</v>
      </c>
      <c r="M61" s="204"/>
    </row>
    <row r="62" spans="1:13" ht="15" customHeight="1" x14ac:dyDescent="0.25">
      <c r="A62" s="333"/>
      <c r="B62" s="342" t="s">
        <v>634</v>
      </c>
      <c r="C62" s="343" t="s">
        <v>7</v>
      </c>
      <c r="D62" s="344" t="s">
        <v>31</v>
      </c>
      <c r="E62" s="343" t="s">
        <v>633</v>
      </c>
      <c r="F62" s="345" t="s">
        <v>635</v>
      </c>
      <c r="G62" s="346" t="s">
        <v>1</v>
      </c>
      <c r="H62" s="346" t="s">
        <v>1</v>
      </c>
      <c r="I62" s="347" t="s">
        <v>1</v>
      </c>
      <c r="J62" s="413">
        <f t="shared" ref="J62:L64" si="15">100000/1000</f>
        <v>100</v>
      </c>
      <c r="K62" s="411">
        <f t="shared" si="15"/>
        <v>100</v>
      </c>
      <c r="L62" s="358">
        <f t="shared" si="15"/>
        <v>100</v>
      </c>
      <c r="M62" s="204"/>
    </row>
    <row r="63" spans="1:13" ht="29.25" customHeight="1" x14ac:dyDescent="0.25">
      <c r="A63" s="333"/>
      <c r="B63" s="350" t="s">
        <v>631</v>
      </c>
      <c r="C63" s="343" t="s">
        <v>7</v>
      </c>
      <c r="D63" s="344" t="s">
        <v>31</v>
      </c>
      <c r="E63" s="343" t="s">
        <v>633</v>
      </c>
      <c r="F63" s="345" t="s">
        <v>635</v>
      </c>
      <c r="G63" s="346">
        <v>11</v>
      </c>
      <c r="H63" s="346">
        <v>1</v>
      </c>
      <c r="I63" s="347" t="s">
        <v>1</v>
      </c>
      <c r="J63" s="411">
        <f t="shared" si="15"/>
        <v>100</v>
      </c>
      <c r="K63" s="411">
        <f t="shared" si="15"/>
        <v>100</v>
      </c>
      <c r="L63" s="358">
        <f t="shared" si="15"/>
        <v>100</v>
      </c>
      <c r="M63" s="204"/>
    </row>
    <row r="64" spans="1:13" ht="30.75" customHeight="1" x14ac:dyDescent="0.25">
      <c r="A64" s="333"/>
      <c r="B64" s="351" t="s">
        <v>22</v>
      </c>
      <c r="C64" s="352" t="s">
        <v>7</v>
      </c>
      <c r="D64" s="353" t="s">
        <v>31</v>
      </c>
      <c r="E64" s="352" t="s">
        <v>633</v>
      </c>
      <c r="F64" s="354" t="s">
        <v>635</v>
      </c>
      <c r="G64" s="355">
        <v>11</v>
      </c>
      <c r="H64" s="355">
        <v>1</v>
      </c>
      <c r="I64" s="356" t="s">
        <v>19</v>
      </c>
      <c r="J64" s="411">
        <f t="shared" si="15"/>
        <v>100</v>
      </c>
      <c r="K64" s="411">
        <f t="shared" si="15"/>
        <v>100</v>
      </c>
      <c r="L64" s="358">
        <f t="shared" si="15"/>
        <v>100</v>
      </c>
      <c r="M64" s="204"/>
    </row>
    <row r="65" spans="1:13" ht="31.5" customHeight="1" x14ac:dyDescent="0.25">
      <c r="A65" s="333"/>
      <c r="B65" s="359" t="s">
        <v>587</v>
      </c>
      <c r="C65" s="360" t="s">
        <v>49</v>
      </c>
      <c r="D65" s="361" t="s">
        <v>5</v>
      </c>
      <c r="E65" s="360" t="s">
        <v>4</v>
      </c>
      <c r="F65" s="362" t="s">
        <v>3</v>
      </c>
      <c r="G65" s="363" t="s">
        <v>1</v>
      </c>
      <c r="H65" s="363" t="s">
        <v>1</v>
      </c>
      <c r="I65" s="364" t="s">
        <v>1</v>
      </c>
      <c r="J65" s="365">
        <f>14347587.38/1000</f>
        <v>14347.587380000001</v>
      </c>
      <c r="K65" s="365">
        <f>13433732.95/1000</f>
        <v>13433.73295</v>
      </c>
      <c r="L65" s="366">
        <f>12768832.92/1000</f>
        <v>12768.832920000001</v>
      </c>
      <c r="M65" s="204"/>
    </row>
    <row r="66" spans="1:13" ht="18.75" customHeight="1" x14ac:dyDescent="0.25">
      <c r="A66" s="333"/>
      <c r="B66" s="367" t="s">
        <v>588</v>
      </c>
      <c r="C66" s="368" t="s">
        <v>49</v>
      </c>
      <c r="D66" s="369" t="s">
        <v>31</v>
      </c>
      <c r="E66" s="368" t="s">
        <v>4</v>
      </c>
      <c r="F66" s="370" t="s">
        <v>3</v>
      </c>
      <c r="G66" s="371" t="s">
        <v>1</v>
      </c>
      <c r="H66" s="371" t="s">
        <v>1</v>
      </c>
      <c r="I66" s="372" t="s">
        <v>1</v>
      </c>
      <c r="J66" s="373">
        <f>14347587.38/1000</f>
        <v>14347.587380000001</v>
      </c>
      <c r="K66" s="373">
        <f>13433732.95/1000</f>
        <v>13433.73295</v>
      </c>
      <c r="L66" s="374">
        <f>12768832.92/1000</f>
        <v>12768.832920000001</v>
      </c>
      <c r="M66" s="204"/>
    </row>
    <row r="67" spans="1:13" ht="15" customHeight="1" x14ac:dyDescent="0.25">
      <c r="A67" s="333"/>
      <c r="B67" s="342" t="s">
        <v>589</v>
      </c>
      <c r="C67" s="343" t="s">
        <v>49</v>
      </c>
      <c r="D67" s="344" t="s">
        <v>31</v>
      </c>
      <c r="E67" s="343" t="s">
        <v>6</v>
      </c>
      <c r="F67" s="345" t="s">
        <v>3</v>
      </c>
      <c r="G67" s="346" t="s">
        <v>1</v>
      </c>
      <c r="H67" s="346" t="s">
        <v>1</v>
      </c>
      <c r="I67" s="347" t="s">
        <v>1</v>
      </c>
      <c r="J67" s="348">
        <f>13627987.38/1000</f>
        <v>13627.98738</v>
      </c>
      <c r="K67" s="348">
        <f>12769532.95/1000</f>
        <v>12769.532949999999</v>
      </c>
      <c r="L67" s="349">
        <f>12273532.92/1000</f>
        <v>12273.53292</v>
      </c>
      <c r="M67" s="204"/>
    </row>
    <row r="68" spans="1:13" ht="30.75" customHeight="1" x14ac:dyDescent="0.25">
      <c r="A68" s="333"/>
      <c r="B68" s="342" t="s">
        <v>590</v>
      </c>
      <c r="C68" s="343" t="s">
        <v>49</v>
      </c>
      <c r="D68" s="344" t="s">
        <v>31</v>
      </c>
      <c r="E68" s="343" t="s">
        <v>6</v>
      </c>
      <c r="F68" s="345" t="s">
        <v>63</v>
      </c>
      <c r="G68" s="346" t="s">
        <v>1</v>
      </c>
      <c r="H68" s="346" t="s">
        <v>1</v>
      </c>
      <c r="I68" s="347" t="s">
        <v>1</v>
      </c>
      <c r="J68" s="348">
        <f>1320729.48/1000</f>
        <v>1320.72948</v>
      </c>
      <c r="K68" s="348">
        <f>1320729.48/1000</f>
        <v>1320.72948</v>
      </c>
      <c r="L68" s="349">
        <f>1320679.45/1000</f>
        <v>1320.6794499999999</v>
      </c>
      <c r="M68" s="204"/>
    </row>
    <row r="69" spans="1:13" ht="15" customHeight="1" x14ac:dyDescent="0.25">
      <c r="A69" s="333"/>
      <c r="B69" s="350" t="s">
        <v>64</v>
      </c>
      <c r="C69" s="343" t="s">
        <v>49</v>
      </c>
      <c r="D69" s="344" t="s">
        <v>31</v>
      </c>
      <c r="E69" s="343" t="s">
        <v>6</v>
      </c>
      <c r="F69" s="345" t="s">
        <v>63</v>
      </c>
      <c r="G69" s="346">
        <v>1</v>
      </c>
      <c r="H69" s="346">
        <v>2</v>
      </c>
      <c r="I69" s="347" t="s">
        <v>1</v>
      </c>
      <c r="J69" s="348">
        <f>1320729.48/1000</f>
        <v>1320.72948</v>
      </c>
      <c r="K69" s="348">
        <f t="shared" ref="K69:K70" si="16">1320729.48/1000</f>
        <v>1320.72948</v>
      </c>
      <c r="L69" s="349">
        <f t="shared" ref="L69:L70" si="17">1320679.45/1000</f>
        <v>1320.6794499999999</v>
      </c>
      <c r="M69" s="204"/>
    </row>
    <row r="70" spans="1:13" ht="28.5" customHeight="1" x14ac:dyDescent="0.25">
      <c r="A70" s="333"/>
      <c r="B70" s="351" t="s">
        <v>51</v>
      </c>
      <c r="C70" s="352" t="s">
        <v>49</v>
      </c>
      <c r="D70" s="353" t="s">
        <v>31</v>
      </c>
      <c r="E70" s="352" t="s">
        <v>6</v>
      </c>
      <c r="F70" s="354" t="s">
        <v>63</v>
      </c>
      <c r="G70" s="355">
        <v>1</v>
      </c>
      <c r="H70" s="355">
        <v>2</v>
      </c>
      <c r="I70" s="356" t="s">
        <v>50</v>
      </c>
      <c r="J70" s="357">
        <f>1320729.48/1000</f>
        <v>1320.72948</v>
      </c>
      <c r="K70" s="357">
        <f t="shared" si="16"/>
        <v>1320.72948</v>
      </c>
      <c r="L70" s="358">
        <f t="shared" si="17"/>
        <v>1320.6794499999999</v>
      </c>
      <c r="M70" s="204"/>
    </row>
    <row r="71" spans="1:13" ht="15" customHeight="1" x14ac:dyDescent="0.25">
      <c r="A71" s="333"/>
      <c r="B71" s="375" t="s">
        <v>591</v>
      </c>
      <c r="C71" s="376" t="s">
        <v>49</v>
      </c>
      <c r="D71" s="377" t="s">
        <v>31</v>
      </c>
      <c r="E71" s="376" t="s">
        <v>6</v>
      </c>
      <c r="F71" s="378" t="s">
        <v>61</v>
      </c>
      <c r="G71" s="379" t="s">
        <v>1</v>
      </c>
      <c r="H71" s="379" t="s">
        <v>1</v>
      </c>
      <c r="I71" s="380" t="s">
        <v>1</v>
      </c>
      <c r="J71" s="381">
        <f>3710363.47/1000</f>
        <v>3710.3634700000002</v>
      </c>
      <c r="K71" s="357">
        <f>3680363.47/1000</f>
        <v>3680.3634700000002</v>
      </c>
      <c r="L71" s="358">
        <f>3680363.47/1000</f>
        <v>3680.3634700000002</v>
      </c>
      <c r="M71" s="204"/>
    </row>
    <row r="72" spans="1:13" ht="15" customHeight="1" x14ac:dyDescent="0.25">
      <c r="A72" s="333"/>
      <c r="B72" s="350" t="s">
        <v>62</v>
      </c>
      <c r="C72" s="343" t="s">
        <v>49</v>
      </c>
      <c r="D72" s="344" t="s">
        <v>31</v>
      </c>
      <c r="E72" s="343" t="s">
        <v>6</v>
      </c>
      <c r="F72" s="345" t="s">
        <v>61</v>
      </c>
      <c r="G72" s="346">
        <v>1</v>
      </c>
      <c r="H72" s="346">
        <v>4</v>
      </c>
      <c r="I72" s="347" t="s">
        <v>1</v>
      </c>
      <c r="J72" s="348">
        <f>3710363.47/1000</f>
        <v>3710.3634700000002</v>
      </c>
      <c r="K72" s="381">
        <f>3680363.47/1000</f>
        <v>3680.3634700000002</v>
      </c>
      <c r="L72" s="382">
        <f>3680363.47/1000</f>
        <v>3680.3634700000002</v>
      </c>
      <c r="M72" s="204"/>
    </row>
    <row r="73" spans="1:13" ht="29.25" customHeight="1" x14ac:dyDescent="0.25">
      <c r="A73" s="333"/>
      <c r="B73" s="350" t="s">
        <v>51</v>
      </c>
      <c r="C73" s="343" t="s">
        <v>49</v>
      </c>
      <c r="D73" s="344" t="s">
        <v>31</v>
      </c>
      <c r="E73" s="343" t="s">
        <v>6</v>
      </c>
      <c r="F73" s="345" t="s">
        <v>61</v>
      </c>
      <c r="G73" s="346">
        <v>1</v>
      </c>
      <c r="H73" s="346">
        <v>4</v>
      </c>
      <c r="I73" s="347" t="s">
        <v>50</v>
      </c>
      <c r="J73" s="348">
        <f>3474863.47/1000</f>
        <v>3474.8634700000002</v>
      </c>
      <c r="K73" s="348">
        <f>3474863.47/1000</f>
        <v>3474.8634700000002</v>
      </c>
      <c r="L73" s="349">
        <f>3474863.47/1000</f>
        <v>3474.8634700000002</v>
      </c>
      <c r="M73" s="204"/>
    </row>
    <row r="74" spans="1:13" ht="36" customHeight="1" x14ac:dyDescent="0.25">
      <c r="A74" s="333"/>
      <c r="B74" s="351" t="s">
        <v>22</v>
      </c>
      <c r="C74" s="352" t="s">
        <v>49</v>
      </c>
      <c r="D74" s="353" t="s">
        <v>31</v>
      </c>
      <c r="E74" s="352" t="s">
        <v>6</v>
      </c>
      <c r="F74" s="354" t="s">
        <v>61</v>
      </c>
      <c r="G74" s="355">
        <v>1</v>
      </c>
      <c r="H74" s="355">
        <v>4</v>
      </c>
      <c r="I74" s="356" t="s">
        <v>19</v>
      </c>
      <c r="J74" s="357">
        <f>235500/1000</f>
        <v>235.5</v>
      </c>
      <c r="K74" s="357">
        <f>205500/1000</f>
        <v>205.5</v>
      </c>
      <c r="L74" s="358">
        <f>205500/1000</f>
        <v>205.5</v>
      </c>
      <c r="M74" s="204"/>
    </row>
    <row r="75" spans="1:13" ht="34.5" customHeight="1" x14ac:dyDescent="0.25">
      <c r="A75" s="333"/>
      <c r="B75" s="375" t="s">
        <v>611</v>
      </c>
      <c r="C75" s="376" t="s">
        <v>49</v>
      </c>
      <c r="D75" s="377" t="s">
        <v>31</v>
      </c>
      <c r="E75" s="376" t="s">
        <v>6</v>
      </c>
      <c r="F75" s="378" t="s">
        <v>47</v>
      </c>
      <c r="G75" s="379" t="s">
        <v>1</v>
      </c>
      <c r="H75" s="379" t="s">
        <v>1</v>
      </c>
      <c r="I75" s="380" t="s">
        <v>1</v>
      </c>
      <c r="J75" s="381">
        <f>321300/1000</f>
        <v>321.3</v>
      </c>
      <c r="K75" s="381">
        <f>336200/1000</f>
        <v>336.2</v>
      </c>
      <c r="L75" s="382">
        <f>348400/1000</f>
        <v>348.4</v>
      </c>
      <c r="M75" s="204"/>
    </row>
    <row r="76" spans="1:13" ht="41.25" customHeight="1" x14ac:dyDescent="0.25">
      <c r="A76" s="333"/>
      <c r="B76" s="350" t="s">
        <v>52</v>
      </c>
      <c r="C76" s="343" t="s">
        <v>49</v>
      </c>
      <c r="D76" s="344" t="s">
        <v>31</v>
      </c>
      <c r="E76" s="343" t="s">
        <v>6</v>
      </c>
      <c r="F76" s="345" t="s">
        <v>47</v>
      </c>
      <c r="G76" s="346">
        <v>2</v>
      </c>
      <c r="H76" s="346">
        <v>3</v>
      </c>
      <c r="I76" s="347" t="s">
        <v>1</v>
      </c>
      <c r="J76" s="348">
        <f>321300/1000</f>
        <v>321.3</v>
      </c>
      <c r="K76" s="348">
        <f>336200/1000</f>
        <v>336.2</v>
      </c>
      <c r="L76" s="349">
        <f>348400/1000</f>
        <v>348.4</v>
      </c>
      <c r="M76" s="204"/>
    </row>
    <row r="77" spans="1:13" ht="29.25" customHeight="1" x14ac:dyDescent="0.25">
      <c r="A77" s="333"/>
      <c r="B77" s="351" t="s">
        <v>51</v>
      </c>
      <c r="C77" s="352" t="s">
        <v>49</v>
      </c>
      <c r="D77" s="353" t="s">
        <v>31</v>
      </c>
      <c r="E77" s="352" t="s">
        <v>6</v>
      </c>
      <c r="F77" s="354" t="s">
        <v>47</v>
      </c>
      <c r="G77" s="355">
        <v>2</v>
      </c>
      <c r="H77" s="355">
        <v>3</v>
      </c>
      <c r="I77" s="356" t="s">
        <v>50</v>
      </c>
      <c r="J77" s="357">
        <f>321300/1000</f>
        <v>321.3</v>
      </c>
      <c r="K77" s="357">
        <f>336200/1000</f>
        <v>336.2</v>
      </c>
      <c r="L77" s="358">
        <f>348400/1000</f>
        <v>348.4</v>
      </c>
      <c r="M77" s="204"/>
    </row>
    <row r="78" spans="1:13" ht="15" customHeight="1" x14ac:dyDescent="0.25">
      <c r="A78" s="333"/>
      <c r="B78" s="375" t="s">
        <v>603</v>
      </c>
      <c r="C78" s="376" t="s">
        <v>49</v>
      </c>
      <c r="D78" s="377" t="s">
        <v>31</v>
      </c>
      <c r="E78" s="376" t="s">
        <v>6</v>
      </c>
      <c r="F78" s="378" t="s">
        <v>604</v>
      </c>
      <c r="G78" s="379" t="s">
        <v>1</v>
      </c>
      <c r="H78" s="379" t="s">
        <v>1</v>
      </c>
      <c r="I78" s="380" t="s">
        <v>1</v>
      </c>
      <c r="J78" s="381">
        <f>7079494.43/1000</f>
        <v>7079.4944299999997</v>
      </c>
      <c r="K78" s="357">
        <f>6819140/1000</f>
        <v>6819.14</v>
      </c>
      <c r="L78" s="358">
        <f>6310990/1000</f>
        <v>6310.99</v>
      </c>
      <c r="M78" s="204"/>
    </row>
    <row r="79" spans="1:13" ht="15" customHeight="1" x14ac:dyDescent="0.25">
      <c r="A79" s="333"/>
      <c r="B79" s="350" t="s">
        <v>60</v>
      </c>
      <c r="C79" s="343" t="s">
        <v>49</v>
      </c>
      <c r="D79" s="344" t="s">
        <v>31</v>
      </c>
      <c r="E79" s="343" t="s">
        <v>6</v>
      </c>
      <c r="F79" s="345" t="s">
        <v>604</v>
      </c>
      <c r="G79" s="346">
        <v>1</v>
      </c>
      <c r="H79" s="346">
        <v>13</v>
      </c>
      <c r="I79" s="347" t="s">
        <v>1</v>
      </c>
      <c r="J79" s="348">
        <f>7079494.43/1000</f>
        <v>7079.4944299999997</v>
      </c>
      <c r="K79" s="381">
        <f>6819140/1000</f>
        <v>6819.14</v>
      </c>
      <c r="L79" s="382">
        <f>6310990/1000</f>
        <v>6310.99</v>
      </c>
      <c r="M79" s="204"/>
    </row>
    <row r="80" spans="1:13" ht="29.25" customHeight="1" x14ac:dyDescent="0.25">
      <c r="A80" s="333"/>
      <c r="B80" s="350" t="s">
        <v>605</v>
      </c>
      <c r="C80" s="343" t="s">
        <v>49</v>
      </c>
      <c r="D80" s="344" t="s">
        <v>31</v>
      </c>
      <c r="E80" s="343" t="s">
        <v>6</v>
      </c>
      <c r="F80" s="345" t="s">
        <v>604</v>
      </c>
      <c r="G80" s="346">
        <v>1</v>
      </c>
      <c r="H80" s="346">
        <v>13</v>
      </c>
      <c r="I80" s="347" t="s">
        <v>606</v>
      </c>
      <c r="J80" s="348">
        <f>5527994.43/1000</f>
        <v>5527.9944299999997</v>
      </c>
      <c r="K80" s="348">
        <f>6110990/1000</f>
        <v>6110.99</v>
      </c>
      <c r="L80" s="349">
        <f>6110990/1000</f>
        <v>6110.99</v>
      </c>
      <c r="M80" s="204"/>
    </row>
    <row r="81" spans="1:13" ht="30" customHeight="1" x14ac:dyDescent="0.25">
      <c r="A81" s="333"/>
      <c r="B81" s="351" t="s">
        <v>22</v>
      </c>
      <c r="C81" s="352" t="s">
        <v>49</v>
      </c>
      <c r="D81" s="353" t="s">
        <v>31</v>
      </c>
      <c r="E81" s="352" t="s">
        <v>6</v>
      </c>
      <c r="F81" s="354" t="s">
        <v>604</v>
      </c>
      <c r="G81" s="355">
        <v>1</v>
      </c>
      <c r="H81" s="355">
        <v>13</v>
      </c>
      <c r="I81" s="356" t="s">
        <v>19</v>
      </c>
      <c r="J81" s="357">
        <f>1551500/1000</f>
        <v>1551.5</v>
      </c>
      <c r="K81" s="357">
        <f>708150/1000</f>
        <v>708.15</v>
      </c>
      <c r="L81" s="358">
        <f>200000/1000</f>
        <v>200</v>
      </c>
      <c r="M81" s="204"/>
    </row>
    <row r="82" spans="1:13" ht="31.5" customHeight="1" x14ac:dyDescent="0.25">
      <c r="A82" s="333"/>
      <c r="B82" s="375" t="s">
        <v>376</v>
      </c>
      <c r="C82" s="376" t="s">
        <v>49</v>
      </c>
      <c r="D82" s="377" t="s">
        <v>31</v>
      </c>
      <c r="E82" s="376" t="s">
        <v>6</v>
      </c>
      <c r="F82" s="378" t="s">
        <v>607</v>
      </c>
      <c r="G82" s="379" t="s">
        <v>1</v>
      </c>
      <c r="H82" s="379" t="s">
        <v>1</v>
      </c>
      <c r="I82" s="380" t="s">
        <v>1</v>
      </c>
      <c r="J82" s="411">
        <f>557000/1000</f>
        <v>557</v>
      </c>
      <c r="K82" s="381">
        <v>0</v>
      </c>
      <c r="L82" s="382">
        <v>0</v>
      </c>
      <c r="M82" s="204"/>
    </row>
    <row r="83" spans="1:13" ht="15" customHeight="1" x14ac:dyDescent="0.25">
      <c r="A83" s="333"/>
      <c r="B83" s="350" t="s">
        <v>60</v>
      </c>
      <c r="C83" s="343" t="s">
        <v>49</v>
      </c>
      <c r="D83" s="344" t="s">
        <v>31</v>
      </c>
      <c r="E83" s="343" t="s">
        <v>6</v>
      </c>
      <c r="F83" s="345" t="s">
        <v>607</v>
      </c>
      <c r="G83" s="346">
        <v>1</v>
      </c>
      <c r="H83" s="346">
        <v>13</v>
      </c>
      <c r="I83" s="347" t="s">
        <v>1</v>
      </c>
      <c r="J83" s="411">
        <f t="shared" ref="J83:J84" si="18">557000/1000</f>
        <v>557</v>
      </c>
      <c r="K83" s="348">
        <v>0</v>
      </c>
      <c r="L83" s="349">
        <v>0</v>
      </c>
      <c r="M83" s="204"/>
    </row>
    <row r="84" spans="1:13" ht="15" customHeight="1" x14ac:dyDescent="0.25">
      <c r="A84" s="333"/>
      <c r="B84" s="351" t="s">
        <v>605</v>
      </c>
      <c r="C84" s="352" t="s">
        <v>49</v>
      </c>
      <c r="D84" s="353" t="s">
        <v>31</v>
      </c>
      <c r="E84" s="352" t="s">
        <v>6</v>
      </c>
      <c r="F84" s="354" t="s">
        <v>607</v>
      </c>
      <c r="G84" s="355">
        <v>1</v>
      </c>
      <c r="H84" s="355">
        <v>13</v>
      </c>
      <c r="I84" s="356" t="s">
        <v>606</v>
      </c>
      <c r="J84" s="411">
        <f t="shared" si="18"/>
        <v>557</v>
      </c>
      <c r="K84" s="357">
        <v>0</v>
      </c>
      <c r="L84" s="358">
        <v>0</v>
      </c>
      <c r="M84" s="204"/>
    </row>
    <row r="85" spans="1:13" ht="29.25" customHeight="1" x14ac:dyDescent="0.25">
      <c r="A85" s="333"/>
      <c r="B85" s="375" t="s">
        <v>608</v>
      </c>
      <c r="C85" s="376" t="s">
        <v>49</v>
      </c>
      <c r="D85" s="377" t="s">
        <v>31</v>
      </c>
      <c r="E85" s="376" t="s">
        <v>6</v>
      </c>
      <c r="F85" s="378" t="s">
        <v>609</v>
      </c>
      <c r="G85" s="379" t="s">
        <v>1</v>
      </c>
      <c r="H85" s="379" t="s">
        <v>1</v>
      </c>
      <c r="I85" s="380" t="s">
        <v>1</v>
      </c>
      <c r="J85" s="411">
        <f>26000/1000</f>
        <v>26</v>
      </c>
      <c r="K85" s="381">
        <v>0</v>
      </c>
      <c r="L85" s="382">
        <v>0</v>
      </c>
      <c r="M85" s="204"/>
    </row>
    <row r="86" spans="1:13" ht="15" customHeight="1" x14ac:dyDescent="0.25">
      <c r="A86" s="333"/>
      <c r="B86" s="350" t="s">
        <v>60</v>
      </c>
      <c r="C86" s="343" t="s">
        <v>49</v>
      </c>
      <c r="D86" s="344" t="s">
        <v>31</v>
      </c>
      <c r="E86" s="343" t="s">
        <v>6</v>
      </c>
      <c r="F86" s="345" t="s">
        <v>609</v>
      </c>
      <c r="G86" s="346">
        <v>1</v>
      </c>
      <c r="H86" s="346">
        <v>13</v>
      </c>
      <c r="I86" s="347" t="s">
        <v>1</v>
      </c>
      <c r="J86" s="411">
        <f t="shared" ref="J86:J87" si="19">26000/1000</f>
        <v>26</v>
      </c>
      <c r="K86" s="348">
        <v>0</v>
      </c>
      <c r="L86" s="349">
        <v>0</v>
      </c>
      <c r="M86" s="204"/>
    </row>
    <row r="87" spans="1:13" ht="15" customHeight="1" x14ac:dyDescent="0.25">
      <c r="A87" s="333"/>
      <c r="B87" s="351" t="s">
        <v>605</v>
      </c>
      <c r="C87" s="352" t="s">
        <v>49</v>
      </c>
      <c r="D87" s="353" t="s">
        <v>31</v>
      </c>
      <c r="E87" s="352" t="s">
        <v>6</v>
      </c>
      <c r="F87" s="354" t="s">
        <v>609</v>
      </c>
      <c r="G87" s="355">
        <v>1</v>
      </c>
      <c r="H87" s="355">
        <v>13</v>
      </c>
      <c r="I87" s="356" t="s">
        <v>606</v>
      </c>
      <c r="J87" s="411">
        <f t="shared" si="19"/>
        <v>26</v>
      </c>
      <c r="K87" s="357">
        <v>0</v>
      </c>
      <c r="L87" s="358">
        <v>0</v>
      </c>
      <c r="M87" s="204"/>
    </row>
    <row r="88" spans="1:13" ht="15" customHeight="1" x14ac:dyDescent="0.25">
      <c r="A88" s="333"/>
      <c r="B88" s="375" t="s">
        <v>59</v>
      </c>
      <c r="C88" s="376" t="s">
        <v>49</v>
      </c>
      <c r="D88" s="377" t="s">
        <v>31</v>
      </c>
      <c r="E88" s="376" t="s">
        <v>6</v>
      </c>
      <c r="F88" s="378" t="s">
        <v>58</v>
      </c>
      <c r="G88" s="379" t="s">
        <v>1</v>
      </c>
      <c r="H88" s="379" t="s">
        <v>1</v>
      </c>
      <c r="I88" s="380" t="s">
        <v>1</v>
      </c>
      <c r="J88" s="411">
        <f>6500/1000</f>
        <v>6.5</v>
      </c>
      <c r="K88" s="411">
        <f>6500/1000</f>
        <v>6.5</v>
      </c>
      <c r="L88" s="411">
        <f>6500/1000</f>
        <v>6.5</v>
      </c>
      <c r="M88" s="204"/>
    </row>
    <row r="89" spans="1:13" ht="19.5" customHeight="1" x14ac:dyDescent="0.25">
      <c r="A89" s="333"/>
      <c r="B89" s="350" t="s">
        <v>60</v>
      </c>
      <c r="C89" s="343" t="s">
        <v>49</v>
      </c>
      <c r="D89" s="344" t="s">
        <v>31</v>
      </c>
      <c r="E89" s="343" t="s">
        <v>6</v>
      </c>
      <c r="F89" s="345" t="s">
        <v>58</v>
      </c>
      <c r="G89" s="346">
        <v>1</v>
      </c>
      <c r="H89" s="346">
        <v>13</v>
      </c>
      <c r="I89" s="347" t="s">
        <v>1</v>
      </c>
      <c r="J89" s="413">
        <f t="shared" ref="J89:L90" si="20">6500/1000</f>
        <v>6.5</v>
      </c>
      <c r="K89" s="411">
        <f t="shared" si="20"/>
        <v>6.5</v>
      </c>
      <c r="L89" s="411">
        <f t="shared" si="20"/>
        <v>6.5</v>
      </c>
      <c r="M89" s="204"/>
    </row>
    <row r="90" spans="1:13" ht="15" customHeight="1" x14ac:dyDescent="0.25">
      <c r="A90" s="333"/>
      <c r="B90" s="351" t="s">
        <v>56</v>
      </c>
      <c r="C90" s="352" t="s">
        <v>49</v>
      </c>
      <c r="D90" s="353" t="s">
        <v>31</v>
      </c>
      <c r="E90" s="352" t="s">
        <v>6</v>
      </c>
      <c r="F90" s="354" t="s">
        <v>58</v>
      </c>
      <c r="G90" s="355">
        <v>1</v>
      </c>
      <c r="H90" s="355">
        <v>13</v>
      </c>
      <c r="I90" s="356" t="s">
        <v>54</v>
      </c>
      <c r="J90" s="411">
        <f t="shared" si="20"/>
        <v>6.5</v>
      </c>
      <c r="K90" s="411">
        <f t="shared" si="20"/>
        <v>6.5</v>
      </c>
      <c r="L90" s="411">
        <f t="shared" si="20"/>
        <v>6.5</v>
      </c>
      <c r="M90" s="204"/>
    </row>
    <row r="91" spans="1:13" ht="24.75" customHeight="1" x14ac:dyDescent="0.25">
      <c r="A91" s="333"/>
      <c r="B91" s="375" t="s">
        <v>405</v>
      </c>
      <c r="C91" s="376" t="s">
        <v>49</v>
      </c>
      <c r="D91" s="377" t="s">
        <v>31</v>
      </c>
      <c r="E91" s="376" t="s">
        <v>6</v>
      </c>
      <c r="F91" s="378" t="s">
        <v>592</v>
      </c>
      <c r="G91" s="379" t="s">
        <v>1</v>
      </c>
      <c r="H91" s="379" t="s">
        <v>1</v>
      </c>
      <c r="I91" s="380" t="s">
        <v>1</v>
      </c>
      <c r="J91" s="411">
        <f>4000/1000</f>
        <v>4</v>
      </c>
      <c r="K91" s="411">
        <f>4000/1000</f>
        <v>4</v>
      </c>
      <c r="L91" s="411">
        <f>4000/1000</f>
        <v>4</v>
      </c>
      <c r="M91" s="204"/>
    </row>
    <row r="92" spans="1:13" ht="46.5" customHeight="1" x14ac:dyDescent="0.25">
      <c r="A92" s="333"/>
      <c r="B92" s="350" t="s">
        <v>62</v>
      </c>
      <c r="C92" s="343" t="s">
        <v>49</v>
      </c>
      <c r="D92" s="344" t="s">
        <v>31</v>
      </c>
      <c r="E92" s="343" t="s">
        <v>6</v>
      </c>
      <c r="F92" s="345" t="s">
        <v>592</v>
      </c>
      <c r="G92" s="346">
        <v>1</v>
      </c>
      <c r="H92" s="346">
        <v>4</v>
      </c>
      <c r="I92" s="347" t="s">
        <v>1</v>
      </c>
      <c r="J92" s="411">
        <f t="shared" ref="J92:L93" si="21">4000/1000</f>
        <v>4</v>
      </c>
      <c r="K92" s="411">
        <f t="shared" si="21"/>
        <v>4</v>
      </c>
      <c r="L92" s="411">
        <f t="shared" si="21"/>
        <v>4</v>
      </c>
      <c r="M92" s="204"/>
    </row>
    <row r="93" spans="1:13" ht="15" customHeight="1" x14ac:dyDescent="0.25">
      <c r="A93" s="333"/>
      <c r="B93" s="351" t="s">
        <v>22</v>
      </c>
      <c r="C93" s="352" t="s">
        <v>49</v>
      </c>
      <c r="D93" s="353" t="s">
        <v>31</v>
      </c>
      <c r="E93" s="352" t="s">
        <v>6</v>
      </c>
      <c r="F93" s="354" t="s">
        <v>592</v>
      </c>
      <c r="G93" s="355">
        <v>1</v>
      </c>
      <c r="H93" s="355">
        <v>4</v>
      </c>
      <c r="I93" s="356" t="s">
        <v>19</v>
      </c>
      <c r="J93" s="411">
        <f t="shared" si="21"/>
        <v>4</v>
      </c>
      <c r="K93" s="411">
        <f t="shared" si="21"/>
        <v>4</v>
      </c>
      <c r="L93" s="411">
        <f t="shared" si="21"/>
        <v>4</v>
      </c>
      <c r="M93" s="204"/>
    </row>
    <row r="94" spans="1:13" ht="29.25" customHeight="1" x14ac:dyDescent="0.25">
      <c r="A94" s="333"/>
      <c r="B94" s="375" t="s">
        <v>365</v>
      </c>
      <c r="C94" s="376" t="s">
        <v>49</v>
      </c>
      <c r="D94" s="377" t="s">
        <v>31</v>
      </c>
      <c r="E94" s="376" t="s">
        <v>6</v>
      </c>
      <c r="F94" s="378" t="s">
        <v>593</v>
      </c>
      <c r="G94" s="379" t="s">
        <v>1</v>
      </c>
      <c r="H94" s="379" t="s">
        <v>1</v>
      </c>
      <c r="I94" s="380" t="s">
        <v>1</v>
      </c>
      <c r="J94" s="411">
        <f>25000/1000</f>
        <v>25</v>
      </c>
      <c r="K94" s="411">
        <f>25000/1000</f>
        <v>25</v>
      </c>
      <c r="L94" s="411">
        <f>25000/1000</f>
        <v>25</v>
      </c>
      <c r="M94" s="204"/>
    </row>
    <row r="95" spans="1:13" ht="29.25" customHeight="1" x14ac:dyDescent="0.25">
      <c r="A95" s="333"/>
      <c r="B95" s="350" t="s">
        <v>62</v>
      </c>
      <c r="C95" s="343" t="s">
        <v>49</v>
      </c>
      <c r="D95" s="344" t="s">
        <v>31</v>
      </c>
      <c r="E95" s="343" t="s">
        <v>6</v>
      </c>
      <c r="F95" s="345" t="s">
        <v>593</v>
      </c>
      <c r="G95" s="346">
        <v>1</v>
      </c>
      <c r="H95" s="346">
        <v>4</v>
      </c>
      <c r="I95" s="347" t="s">
        <v>1</v>
      </c>
      <c r="J95" s="411">
        <f t="shared" ref="J95:L96" si="22">25000/1000</f>
        <v>25</v>
      </c>
      <c r="K95" s="411">
        <f t="shared" si="22"/>
        <v>25</v>
      </c>
      <c r="L95" s="411">
        <f t="shared" si="22"/>
        <v>25</v>
      </c>
      <c r="M95" s="204"/>
    </row>
    <row r="96" spans="1:13" ht="30.75" customHeight="1" x14ac:dyDescent="0.25">
      <c r="A96" s="333"/>
      <c r="B96" s="351" t="s">
        <v>22</v>
      </c>
      <c r="C96" s="352" t="s">
        <v>49</v>
      </c>
      <c r="D96" s="353" t="s">
        <v>31</v>
      </c>
      <c r="E96" s="352" t="s">
        <v>6</v>
      </c>
      <c r="F96" s="354" t="s">
        <v>593</v>
      </c>
      <c r="G96" s="355">
        <v>1</v>
      </c>
      <c r="H96" s="355">
        <v>4</v>
      </c>
      <c r="I96" s="356" t="s">
        <v>19</v>
      </c>
      <c r="J96" s="411">
        <f t="shared" si="22"/>
        <v>25</v>
      </c>
      <c r="K96" s="411">
        <f t="shared" si="22"/>
        <v>25</v>
      </c>
      <c r="L96" s="411">
        <f t="shared" si="22"/>
        <v>25</v>
      </c>
      <c r="M96" s="204"/>
    </row>
    <row r="97" spans="1:13" ht="23.25" customHeight="1" x14ac:dyDescent="0.25">
      <c r="A97" s="333"/>
      <c r="B97" s="375" t="s">
        <v>57</v>
      </c>
      <c r="C97" s="376" t="s">
        <v>49</v>
      </c>
      <c r="D97" s="377" t="s">
        <v>31</v>
      </c>
      <c r="E97" s="376" t="s">
        <v>6</v>
      </c>
      <c r="F97" s="378" t="s">
        <v>55</v>
      </c>
      <c r="G97" s="379" t="s">
        <v>1</v>
      </c>
      <c r="H97" s="379" t="s">
        <v>1</v>
      </c>
      <c r="I97" s="380" t="s">
        <v>1</v>
      </c>
      <c r="J97" s="411">
        <f>20000/1000</f>
        <v>20</v>
      </c>
      <c r="K97" s="411">
        <f>20000/1000</f>
        <v>20</v>
      </c>
      <c r="L97" s="411">
        <f>20000/1000</f>
        <v>20</v>
      </c>
      <c r="M97" s="204"/>
    </row>
    <row r="98" spans="1:13" ht="15" customHeight="1" x14ac:dyDescent="0.25">
      <c r="A98" s="333"/>
      <c r="B98" s="350" t="s">
        <v>60</v>
      </c>
      <c r="C98" s="343" t="s">
        <v>49</v>
      </c>
      <c r="D98" s="344" t="s">
        <v>31</v>
      </c>
      <c r="E98" s="343" t="s">
        <v>6</v>
      </c>
      <c r="F98" s="345" t="s">
        <v>55</v>
      </c>
      <c r="G98" s="346">
        <v>1</v>
      </c>
      <c r="H98" s="346">
        <v>13</v>
      </c>
      <c r="I98" s="347" t="s">
        <v>1</v>
      </c>
      <c r="J98" s="411">
        <f t="shared" ref="J98:L99" si="23">20000/1000</f>
        <v>20</v>
      </c>
      <c r="K98" s="411">
        <f t="shared" si="23"/>
        <v>20</v>
      </c>
      <c r="L98" s="411">
        <f t="shared" si="23"/>
        <v>20</v>
      </c>
      <c r="M98" s="204"/>
    </row>
    <row r="99" spans="1:13" ht="31.5" customHeight="1" x14ac:dyDescent="0.25">
      <c r="A99" s="333"/>
      <c r="B99" s="351" t="s">
        <v>22</v>
      </c>
      <c r="C99" s="352" t="s">
        <v>49</v>
      </c>
      <c r="D99" s="353" t="s">
        <v>31</v>
      </c>
      <c r="E99" s="352" t="s">
        <v>6</v>
      </c>
      <c r="F99" s="354" t="s">
        <v>55</v>
      </c>
      <c r="G99" s="355">
        <v>1</v>
      </c>
      <c r="H99" s="355">
        <v>13</v>
      </c>
      <c r="I99" s="356" t="s">
        <v>19</v>
      </c>
      <c r="J99" s="411">
        <f t="shared" si="23"/>
        <v>20</v>
      </c>
      <c r="K99" s="411">
        <f t="shared" si="23"/>
        <v>20</v>
      </c>
      <c r="L99" s="411">
        <f t="shared" si="23"/>
        <v>20</v>
      </c>
      <c r="M99" s="204"/>
    </row>
    <row r="100" spans="1:13" ht="24.75" customHeight="1" x14ac:dyDescent="0.25">
      <c r="A100" s="333"/>
      <c r="B100" s="375" t="s">
        <v>610</v>
      </c>
      <c r="C100" s="376" t="s">
        <v>49</v>
      </c>
      <c r="D100" s="377" t="s">
        <v>31</v>
      </c>
      <c r="E100" s="376" t="s">
        <v>6</v>
      </c>
      <c r="F100" s="378" t="s">
        <v>364</v>
      </c>
      <c r="G100" s="379" t="s">
        <v>1</v>
      </c>
      <c r="H100" s="379" t="s">
        <v>1</v>
      </c>
      <c r="I100" s="380" t="s">
        <v>1</v>
      </c>
      <c r="J100" s="411">
        <f>557600/1000</f>
        <v>557.6</v>
      </c>
      <c r="K100" s="411">
        <f>557600/1000</f>
        <v>557.6</v>
      </c>
      <c r="L100" s="411">
        <f>557600/1000</f>
        <v>557.6</v>
      </c>
      <c r="M100" s="204"/>
    </row>
    <row r="101" spans="1:13" ht="24.75" customHeight="1" x14ac:dyDescent="0.25">
      <c r="A101" s="333"/>
      <c r="B101" s="350" t="s">
        <v>60</v>
      </c>
      <c r="C101" s="343" t="s">
        <v>49</v>
      </c>
      <c r="D101" s="344" t="s">
        <v>31</v>
      </c>
      <c r="E101" s="343" t="s">
        <v>6</v>
      </c>
      <c r="F101" s="345" t="s">
        <v>364</v>
      </c>
      <c r="G101" s="346">
        <v>1</v>
      </c>
      <c r="H101" s="346">
        <v>13</v>
      </c>
      <c r="I101" s="347" t="s">
        <v>1</v>
      </c>
      <c r="J101" s="411">
        <f t="shared" ref="J101:L102" si="24">557600/1000</f>
        <v>557.6</v>
      </c>
      <c r="K101" s="411">
        <f t="shared" si="24"/>
        <v>557.6</v>
      </c>
      <c r="L101" s="411">
        <f t="shared" si="24"/>
        <v>557.6</v>
      </c>
      <c r="M101" s="204"/>
    </row>
    <row r="102" spans="1:13" ht="21" customHeight="1" x14ac:dyDescent="0.25">
      <c r="A102" s="333"/>
      <c r="B102" s="351" t="s">
        <v>56</v>
      </c>
      <c r="C102" s="352" t="s">
        <v>49</v>
      </c>
      <c r="D102" s="353" t="s">
        <v>31</v>
      </c>
      <c r="E102" s="352" t="s">
        <v>6</v>
      </c>
      <c r="F102" s="354" t="s">
        <v>364</v>
      </c>
      <c r="G102" s="355">
        <v>1</v>
      </c>
      <c r="H102" s="355">
        <v>13</v>
      </c>
      <c r="I102" s="356" t="s">
        <v>54</v>
      </c>
      <c r="J102" s="411">
        <f t="shared" si="24"/>
        <v>557.6</v>
      </c>
      <c r="K102" s="411">
        <f t="shared" si="24"/>
        <v>557.6</v>
      </c>
      <c r="L102" s="411">
        <f t="shared" si="24"/>
        <v>557.6</v>
      </c>
      <c r="M102" s="204"/>
    </row>
    <row r="103" spans="1:13" ht="32.25" customHeight="1" x14ac:dyDescent="0.25">
      <c r="A103" s="333"/>
      <c r="B103" s="375" t="s">
        <v>629</v>
      </c>
      <c r="C103" s="376" t="s">
        <v>49</v>
      </c>
      <c r="D103" s="377" t="s">
        <v>31</v>
      </c>
      <c r="E103" s="376" t="s">
        <v>30</v>
      </c>
      <c r="F103" s="378" t="s">
        <v>3</v>
      </c>
      <c r="G103" s="379" t="s">
        <v>1</v>
      </c>
      <c r="H103" s="379" t="s">
        <v>1</v>
      </c>
      <c r="I103" s="380" t="s">
        <v>1</v>
      </c>
      <c r="J103" s="411">
        <f>447000/1000</f>
        <v>447</v>
      </c>
      <c r="K103" s="411">
        <f>447000/1000</f>
        <v>447</v>
      </c>
      <c r="L103" s="411">
        <f>447000/1000</f>
        <v>447</v>
      </c>
      <c r="M103" s="204"/>
    </row>
    <row r="104" spans="1:13" ht="23.25" customHeight="1" x14ac:dyDescent="0.25">
      <c r="A104" s="333"/>
      <c r="B104" s="342" t="s">
        <v>472</v>
      </c>
      <c r="C104" s="343" t="s">
        <v>49</v>
      </c>
      <c r="D104" s="344" t="s">
        <v>31</v>
      </c>
      <c r="E104" s="343" t="s">
        <v>30</v>
      </c>
      <c r="F104" s="345" t="s">
        <v>630</v>
      </c>
      <c r="G104" s="346" t="s">
        <v>1</v>
      </c>
      <c r="H104" s="346" t="s">
        <v>1</v>
      </c>
      <c r="I104" s="347" t="s">
        <v>1</v>
      </c>
      <c r="J104" s="411">
        <f t="shared" ref="J104:L106" si="25">447000/1000</f>
        <v>447</v>
      </c>
      <c r="K104" s="411">
        <f t="shared" si="25"/>
        <v>447</v>
      </c>
      <c r="L104" s="411">
        <f t="shared" si="25"/>
        <v>447</v>
      </c>
      <c r="M104" s="204"/>
    </row>
    <row r="105" spans="1:13" ht="18.75" customHeight="1" x14ac:dyDescent="0.25">
      <c r="A105" s="333"/>
      <c r="B105" s="350" t="s">
        <v>10</v>
      </c>
      <c r="C105" s="343" t="s">
        <v>49</v>
      </c>
      <c r="D105" s="344" t="s">
        <v>31</v>
      </c>
      <c r="E105" s="343" t="s">
        <v>30</v>
      </c>
      <c r="F105" s="345" t="s">
        <v>630</v>
      </c>
      <c r="G105" s="346">
        <v>10</v>
      </c>
      <c r="H105" s="346">
        <v>1</v>
      </c>
      <c r="I105" s="347" t="s">
        <v>1</v>
      </c>
      <c r="J105" s="411">
        <f t="shared" si="25"/>
        <v>447</v>
      </c>
      <c r="K105" s="411">
        <f t="shared" si="25"/>
        <v>447</v>
      </c>
      <c r="L105" s="411">
        <f t="shared" si="25"/>
        <v>447</v>
      </c>
      <c r="M105" s="204"/>
    </row>
    <row r="106" spans="1:13" ht="25.5" customHeight="1" x14ac:dyDescent="0.25">
      <c r="A106" s="333"/>
      <c r="B106" s="351" t="s">
        <v>9</v>
      </c>
      <c r="C106" s="352" t="s">
        <v>49</v>
      </c>
      <c r="D106" s="353" t="s">
        <v>31</v>
      </c>
      <c r="E106" s="352" t="s">
        <v>30</v>
      </c>
      <c r="F106" s="354" t="s">
        <v>630</v>
      </c>
      <c r="G106" s="355">
        <v>10</v>
      </c>
      <c r="H106" s="355">
        <v>1</v>
      </c>
      <c r="I106" s="356" t="s">
        <v>8</v>
      </c>
      <c r="J106" s="411">
        <f t="shared" si="25"/>
        <v>447</v>
      </c>
      <c r="K106" s="411">
        <f t="shared" si="25"/>
        <v>447</v>
      </c>
      <c r="L106" s="411">
        <f t="shared" si="25"/>
        <v>447</v>
      </c>
      <c r="M106" s="204"/>
    </row>
    <row r="107" spans="1:13" ht="44.25" customHeight="1" x14ac:dyDescent="0.25">
      <c r="A107" s="333"/>
      <c r="B107" s="375" t="s">
        <v>594</v>
      </c>
      <c r="C107" s="376" t="s">
        <v>49</v>
      </c>
      <c r="D107" s="377" t="s">
        <v>31</v>
      </c>
      <c r="E107" s="376" t="s">
        <v>21</v>
      </c>
      <c r="F107" s="378" t="s">
        <v>3</v>
      </c>
      <c r="G107" s="379" t="s">
        <v>1</v>
      </c>
      <c r="H107" s="379" t="s">
        <v>1</v>
      </c>
      <c r="I107" s="380" t="s">
        <v>1</v>
      </c>
      <c r="J107" s="381">
        <f>272600/1000</f>
        <v>272.60000000000002</v>
      </c>
      <c r="K107" s="381">
        <f>217200/1000</f>
        <v>217.2</v>
      </c>
      <c r="L107" s="382">
        <f>48300/1000</f>
        <v>48.3</v>
      </c>
      <c r="M107" s="204"/>
    </row>
    <row r="108" spans="1:13" ht="45" customHeight="1" x14ac:dyDescent="0.25">
      <c r="A108" s="333"/>
      <c r="B108" s="342" t="s">
        <v>595</v>
      </c>
      <c r="C108" s="343" t="s">
        <v>49</v>
      </c>
      <c r="D108" s="344" t="s">
        <v>31</v>
      </c>
      <c r="E108" s="343" t="s">
        <v>21</v>
      </c>
      <c r="F108" s="345" t="s">
        <v>596</v>
      </c>
      <c r="G108" s="346" t="s">
        <v>1</v>
      </c>
      <c r="H108" s="346" t="s">
        <v>1</v>
      </c>
      <c r="I108" s="347" t="s">
        <v>1</v>
      </c>
      <c r="J108" s="348">
        <f>168900/1000</f>
        <v>168.9</v>
      </c>
      <c r="K108" s="348">
        <f>168900/1000</f>
        <v>168.9</v>
      </c>
      <c r="L108" s="349">
        <v>0</v>
      </c>
      <c r="M108" s="204"/>
    </row>
    <row r="109" spans="1:13" ht="53.25" customHeight="1" x14ac:dyDescent="0.25">
      <c r="A109" s="333"/>
      <c r="B109" s="350" t="s">
        <v>62</v>
      </c>
      <c r="C109" s="343" t="s">
        <v>49</v>
      </c>
      <c r="D109" s="344" t="s">
        <v>31</v>
      </c>
      <c r="E109" s="343" t="s">
        <v>21</v>
      </c>
      <c r="F109" s="345" t="s">
        <v>596</v>
      </c>
      <c r="G109" s="346">
        <v>1</v>
      </c>
      <c r="H109" s="346">
        <v>4</v>
      </c>
      <c r="I109" s="347" t="s">
        <v>1</v>
      </c>
      <c r="J109" s="348">
        <f t="shared" ref="J109:J110" si="26">168900/1000</f>
        <v>168.9</v>
      </c>
      <c r="K109" s="348">
        <f>168900/1000</f>
        <v>168.9</v>
      </c>
      <c r="L109" s="349">
        <v>0</v>
      </c>
      <c r="M109" s="204"/>
    </row>
    <row r="110" spans="1:13" ht="31.5" customHeight="1" x14ac:dyDescent="0.25">
      <c r="A110" s="333"/>
      <c r="B110" s="351" t="s">
        <v>247</v>
      </c>
      <c r="C110" s="352" t="s">
        <v>49</v>
      </c>
      <c r="D110" s="353" t="s">
        <v>31</v>
      </c>
      <c r="E110" s="352" t="s">
        <v>21</v>
      </c>
      <c r="F110" s="354" t="s">
        <v>596</v>
      </c>
      <c r="G110" s="355">
        <v>1</v>
      </c>
      <c r="H110" s="355">
        <v>4</v>
      </c>
      <c r="I110" s="356" t="s">
        <v>366</v>
      </c>
      <c r="J110" s="411">
        <f t="shared" si="26"/>
        <v>168.9</v>
      </c>
      <c r="K110" s="357">
        <f>168900/1000</f>
        <v>168.9</v>
      </c>
      <c r="L110" s="358">
        <v>0</v>
      </c>
      <c r="M110" s="204"/>
    </row>
    <row r="111" spans="1:13" ht="29.25" customHeight="1" x14ac:dyDescent="0.25">
      <c r="A111" s="333"/>
      <c r="B111" s="375" t="s">
        <v>597</v>
      </c>
      <c r="C111" s="376" t="s">
        <v>49</v>
      </c>
      <c r="D111" s="377" t="s">
        <v>31</v>
      </c>
      <c r="E111" s="376" t="s">
        <v>21</v>
      </c>
      <c r="F111" s="378" t="s">
        <v>598</v>
      </c>
      <c r="G111" s="379" t="s">
        <v>1</v>
      </c>
      <c r="H111" s="379" t="s">
        <v>1</v>
      </c>
      <c r="I111" s="380" t="s">
        <v>1</v>
      </c>
      <c r="J111" s="411">
        <f>40300/1000</f>
        <v>40.299999999999997</v>
      </c>
      <c r="K111" s="381">
        <f>40300/1000</f>
        <v>40.299999999999997</v>
      </c>
      <c r="L111" s="382">
        <f>40300/1000</f>
        <v>40.299999999999997</v>
      </c>
      <c r="M111" s="204"/>
    </row>
    <row r="112" spans="1:13" ht="54" customHeight="1" x14ac:dyDescent="0.25">
      <c r="A112" s="333"/>
      <c r="B112" s="350" t="s">
        <v>62</v>
      </c>
      <c r="C112" s="343" t="s">
        <v>49</v>
      </c>
      <c r="D112" s="344" t="s">
        <v>31</v>
      </c>
      <c r="E112" s="343" t="s">
        <v>21</v>
      </c>
      <c r="F112" s="345" t="s">
        <v>598</v>
      </c>
      <c r="G112" s="346">
        <v>1</v>
      </c>
      <c r="H112" s="346">
        <v>4</v>
      </c>
      <c r="I112" s="347" t="s">
        <v>1</v>
      </c>
      <c r="J112" s="411">
        <f t="shared" ref="J112:J113" si="27">40300/1000</f>
        <v>40.299999999999997</v>
      </c>
      <c r="K112" s="411">
        <f>40300/1000</f>
        <v>40.299999999999997</v>
      </c>
      <c r="L112" s="411">
        <f>40300/1000</f>
        <v>40.299999999999997</v>
      </c>
      <c r="M112" s="204"/>
    </row>
    <row r="113" spans="1:13" ht="37.5" customHeight="1" x14ac:dyDescent="0.25">
      <c r="A113" s="333"/>
      <c r="B113" s="351" t="s">
        <v>247</v>
      </c>
      <c r="C113" s="352" t="s">
        <v>49</v>
      </c>
      <c r="D113" s="353" t="s">
        <v>31</v>
      </c>
      <c r="E113" s="352" t="s">
        <v>21</v>
      </c>
      <c r="F113" s="354" t="s">
        <v>598</v>
      </c>
      <c r="G113" s="355">
        <v>1</v>
      </c>
      <c r="H113" s="355">
        <v>4</v>
      </c>
      <c r="I113" s="356" t="s">
        <v>366</v>
      </c>
      <c r="J113" s="411">
        <f t="shared" si="27"/>
        <v>40.299999999999997</v>
      </c>
      <c r="K113" s="411">
        <f>40300/1000</f>
        <v>40.299999999999997</v>
      </c>
      <c r="L113" s="411">
        <f>40300/1000</f>
        <v>40.299999999999997</v>
      </c>
      <c r="M113" s="204"/>
    </row>
    <row r="114" spans="1:13" ht="65.25" customHeight="1" x14ac:dyDescent="0.25">
      <c r="A114" s="333"/>
      <c r="B114" s="375" t="s">
        <v>599</v>
      </c>
      <c r="C114" s="376" t="s">
        <v>49</v>
      </c>
      <c r="D114" s="377" t="s">
        <v>31</v>
      </c>
      <c r="E114" s="376" t="s">
        <v>21</v>
      </c>
      <c r="F114" s="378" t="s">
        <v>600</v>
      </c>
      <c r="G114" s="379" t="s">
        <v>1</v>
      </c>
      <c r="H114" s="379" t="s">
        <v>1</v>
      </c>
      <c r="I114" s="380" t="s">
        <v>1</v>
      </c>
      <c r="J114" s="413">
        <f>8000/1000</f>
        <v>8</v>
      </c>
      <c r="K114" s="411">
        <f>8000/1000</f>
        <v>8</v>
      </c>
      <c r="L114" s="411">
        <f>8000/1000</f>
        <v>8</v>
      </c>
      <c r="M114" s="204"/>
    </row>
    <row r="115" spans="1:13" ht="56.25" customHeight="1" x14ac:dyDescent="0.25">
      <c r="A115" s="333"/>
      <c r="B115" s="350" t="s">
        <v>62</v>
      </c>
      <c r="C115" s="343" t="s">
        <v>49</v>
      </c>
      <c r="D115" s="344" t="s">
        <v>31</v>
      </c>
      <c r="E115" s="343" t="s">
        <v>21</v>
      </c>
      <c r="F115" s="345" t="s">
        <v>600</v>
      </c>
      <c r="G115" s="346">
        <v>1</v>
      </c>
      <c r="H115" s="346">
        <v>4</v>
      </c>
      <c r="I115" s="347" t="s">
        <v>1</v>
      </c>
      <c r="J115" s="413">
        <f t="shared" ref="J115:J116" si="28">8000/1000</f>
        <v>8</v>
      </c>
      <c r="K115" s="411">
        <f>8000/1000</f>
        <v>8</v>
      </c>
      <c r="L115" s="411">
        <f>8000/1000</f>
        <v>8</v>
      </c>
      <c r="M115" s="204"/>
    </row>
    <row r="116" spans="1:13" ht="18" customHeight="1" x14ac:dyDescent="0.25">
      <c r="A116" s="333"/>
      <c r="B116" s="351" t="s">
        <v>247</v>
      </c>
      <c r="C116" s="352" t="s">
        <v>49</v>
      </c>
      <c r="D116" s="353" t="s">
        <v>31</v>
      </c>
      <c r="E116" s="352" t="s">
        <v>21</v>
      </c>
      <c r="F116" s="354" t="s">
        <v>600</v>
      </c>
      <c r="G116" s="355">
        <v>1</v>
      </c>
      <c r="H116" s="355">
        <v>4</v>
      </c>
      <c r="I116" s="356" t="s">
        <v>366</v>
      </c>
      <c r="J116" s="413">
        <f t="shared" si="28"/>
        <v>8</v>
      </c>
      <c r="K116" s="411">
        <f>8000/1000</f>
        <v>8</v>
      </c>
      <c r="L116" s="411">
        <f>8000/1000</f>
        <v>8</v>
      </c>
      <c r="M116" s="204"/>
    </row>
    <row r="117" spans="1:13" ht="48" customHeight="1" x14ac:dyDescent="0.25">
      <c r="A117" s="333"/>
      <c r="B117" s="375" t="s">
        <v>601</v>
      </c>
      <c r="C117" s="376" t="s">
        <v>49</v>
      </c>
      <c r="D117" s="377" t="s">
        <v>31</v>
      </c>
      <c r="E117" s="376" t="s">
        <v>21</v>
      </c>
      <c r="F117" s="378" t="s">
        <v>602</v>
      </c>
      <c r="G117" s="379" t="s">
        <v>1</v>
      </c>
      <c r="H117" s="379" t="s">
        <v>1</v>
      </c>
      <c r="I117" s="380" t="s">
        <v>1</v>
      </c>
      <c r="J117" s="411">
        <f>55400/1000</f>
        <v>55.4</v>
      </c>
      <c r="K117" s="381">
        <v>0</v>
      </c>
      <c r="L117" s="382">
        <v>0</v>
      </c>
      <c r="M117" s="204"/>
    </row>
    <row r="118" spans="1:13" ht="36" customHeight="1" x14ac:dyDescent="0.25">
      <c r="A118" s="333"/>
      <c r="B118" s="350" t="s">
        <v>328</v>
      </c>
      <c r="C118" s="343" t="s">
        <v>49</v>
      </c>
      <c r="D118" s="344" t="s">
        <v>31</v>
      </c>
      <c r="E118" s="343" t="s">
        <v>21</v>
      </c>
      <c r="F118" s="345" t="s">
        <v>602</v>
      </c>
      <c r="G118" s="346">
        <v>1</v>
      </c>
      <c r="H118" s="346">
        <v>6</v>
      </c>
      <c r="I118" s="347" t="s">
        <v>1</v>
      </c>
      <c r="J118" s="411">
        <f t="shared" ref="J118:J119" si="29">55400/1000</f>
        <v>55.4</v>
      </c>
      <c r="K118" s="348">
        <v>0</v>
      </c>
      <c r="L118" s="349">
        <v>0</v>
      </c>
      <c r="M118" s="204"/>
    </row>
    <row r="119" spans="1:13" ht="20.25" customHeight="1" x14ac:dyDescent="0.25">
      <c r="A119" s="333"/>
      <c r="B119" s="351" t="s">
        <v>247</v>
      </c>
      <c r="C119" s="352" t="s">
        <v>49</v>
      </c>
      <c r="D119" s="353" t="s">
        <v>31</v>
      </c>
      <c r="E119" s="352" t="s">
        <v>21</v>
      </c>
      <c r="F119" s="354" t="s">
        <v>602</v>
      </c>
      <c r="G119" s="355">
        <v>1</v>
      </c>
      <c r="H119" s="355">
        <v>6</v>
      </c>
      <c r="I119" s="356" t="s">
        <v>366</v>
      </c>
      <c r="J119" s="411">
        <f t="shared" si="29"/>
        <v>55.4</v>
      </c>
      <c r="K119" s="357">
        <v>0</v>
      </c>
      <c r="L119" s="358">
        <v>0</v>
      </c>
      <c r="M119" s="204"/>
    </row>
    <row r="120" spans="1:13" ht="22.5" customHeight="1" x14ac:dyDescent="0.25">
      <c r="A120" s="333"/>
      <c r="B120" s="359" t="s">
        <v>2</v>
      </c>
      <c r="C120" s="360"/>
      <c r="D120" s="361"/>
      <c r="E120" s="360"/>
      <c r="F120" s="362"/>
      <c r="G120" s="363" t="s">
        <v>1</v>
      </c>
      <c r="H120" s="363" t="s">
        <v>1</v>
      </c>
      <c r="I120" s="364" t="s">
        <v>1</v>
      </c>
      <c r="J120" s="365">
        <v>0</v>
      </c>
      <c r="K120" s="365">
        <f>575430/1000</f>
        <v>575.42999999999995</v>
      </c>
      <c r="L120" s="366">
        <f>571570/1000</f>
        <v>571.57000000000005</v>
      </c>
      <c r="M120" s="204"/>
    </row>
    <row r="121" spans="1:13" ht="29.25" customHeight="1" thickBot="1" x14ac:dyDescent="0.3">
      <c r="A121" s="384"/>
      <c r="B121" s="385" t="s">
        <v>0</v>
      </c>
      <c r="C121" s="386"/>
      <c r="D121" s="386"/>
      <c r="E121" s="386"/>
      <c r="F121" s="386"/>
      <c r="G121" s="386"/>
      <c r="H121" s="386"/>
      <c r="I121" s="386"/>
      <c r="J121" s="387">
        <f>24670427.38/1000</f>
        <v>24670.427379999997</v>
      </c>
      <c r="K121" s="388">
        <f>23017360/1000</f>
        <v>23017.360000000001</v>
      </c>
      <c r="L121" s="389">
        <f>22862620/1000</f>
        <v>22862.62</v>
      </c>
      <c r="M121" s="203"/>
    </row>
    <row r="122" spans="1:13" ht="29.25" customHeight="1" x14ac:dyDescent="0.25">
      <c r="A122" s="384"/>
      <c r="B122" s="384"/>
      <c r="C122" s="204"/>
      <c r="D122" s="204"/>
      <c r="E122" s="204"/>
      <c r="F122" s="204"/>
      <c r="G122" s="204"/>
      <c r="H122" s="204"/>
      <c r="I122" s="204"/>
      <c r="J122" s="203"/>
      <c r="K122" s="384"/>
      <c r="L122" s="204"/>
      <c r="M122" s="203"/>
    </row>
    <row r="123" spans="1:13" ht="29.25" customHeight="1" x14ac:dyDescent="0.25"/>
    <row r="124" spans="1:13" ht="29.25" customHeight="1" x14ac:dyDescent="0.25"/>
    <row r="125" spans="1:13" ht="29.25" customHeight="1" x14ac:dyDescent="0.25"/>
    <row r="126" spans="1:13" ht="29.25" customHeight="1" x14ac:dyDescent="0.25"/>
    <row r="127" spans="1:13" ht="15" customHeight="1" x14ac:dyDescent="0.25"/>
    <row r="128" spans="1:13" ht="29.25" customHeight="1" x14ac:dyDescent="0.25"/>
    <row r="129" ht="29.25" customHeight="1" x14ac:dyDescent="0.25"/>
    <row r="130" ht="44.25" customHeight="1" x14ac:dyDescent="0.25"/>
    <row r="131" ht="29.25" customHeight="1" x14ac:dyDescent="0.25"/>
    <row r="132" ht="29.25" customHeight="1" x14ac:dyDescent="0.25"/>
    <row r="133" ht="60.75" customHeight="1" x14ac:dyDescent="0.25"/>
    <row r="134" ht="34.5" customHeight="1" x14ac:dyDescent="0.25"/>
    <row r="135" ht="30" customHeight="1" x14ac:dyDescent="0.25"/>
    <row r="136" ht="35.25" customHeight="1" x14ac:dyDescent="0.25"/>
    <row r="137" ht="33" customHeight="1" x14ac:dyDescent="0.25"/>
    <row r="138" ht="32.25" customHeight="1" x14ac:dyDescent="0.25"/>
    <row r="139" ht="34.5" customHeight="1" x14ac:dyDescent="0.25"/>
    <row r="140" ht="29.25" customHeight="1" x14ac:dyDescent="0.25"/>
    <row r="141" ht="29.25" customHeight="1" x14ac:dyDescent="0.25"/>
    <row r="142" ht="29.25" customHeight="1" x14ac:dyDescent="0.25"/>
    <row r="143" ht="29.25" customHeight="1" x14ac:dyDescent="0.25"/>
    <row r="144" ht="29.25" customHeight="1" x14ac:dyDescent="0.25"/>
    <row r="145" ht="45" customHeight="1" x14ac:dyDescent="0.25"/>
    <row r="146" ht="34.5" customHeight="1" x14ac:dyDescent="0.25"/>
    <row r="147" ht="21" customHeight="1" x14ac:dyDescent="0.25"/>
    <row r="148" ht="20.25" customHeight="1" x14ac:dyDescent="0.25"/>
    <row r="149" ht="29.25" customHeight="1" x14ac:dyDescent="0.25"/>
    <row r="150" ht="42.75" customHeight="1" x14ac:dyDescent="0.25"/>
    <row r="151" ht="44.25" customHeight="1" x14ac:dyDescent="0.25"/>
    <row r="152" ht="21" customHeight="1" x14ac:dyDescent="0.25"/>
    <row r="153" ht="18.75" customHeight="1" x14ac:dyDescent="0.25"/>
    <row r="154" ht="0.75" customHeight="1" x14ac:dyDescent="0.25"/>
    <row r="155" ht="21.75" customHeight="1" x14ac:dyDescent="0.25"/>
    <row r="156" ht="12.75" customHeight="1" x14ac:dyDescent="0.25"/>
  </sheetData>
  <mergeCells count="3">
    <mergeCell ref="B5:H5"/>
    <mergeCell ref="C12:F12"/>
    <mergeCell ref="A10:L10"/>
  </mergeCells>
  <pageMargins left="1.1811023622047201" right="0.39370078740157499" top="0.78740157480314998" bottom="0.59055118110236204" header="0.31496063461453899" footer="0.31496063461453899"/>
  <pageSetup paperSize="9" scale="83" fitToHeight="0" orientation="landscape" r:id="rId1"/>
  <headerFooter alignWithMargins="0">
    <oddHeader>&amp;C&amp;P</oddHeader>
  </headerFooter>
  <rowBreaks count="1" manualBreakCount="1">
    <brk id="10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8"/>
  <sheetViews>
    <sheetView zoomScale="90" zoomScaleNormal="90" workbookViewId="0">
      <selection activeCell="B7" sqref="B7:F7"/>
    </sheetView>
  </sheetViews>
  <sheetFormatPr defaultRowHeight="15" x14ac:dyDescent="0.25"/>
  <cols>
    <col min="1" max="1" width="0.42578125" customWidth="1"/>
    <col min="2" max="2" width="34" customWidth="1"/>
    <col min="3" max="3" width="49.140625" customWidth="1"/>
    <col min="4" max="4" width="16.28515625" customWidth="1"/>
    <col min="5" max="5" width="14.5703125" customWidth="1"/>
    <col min="6" max="6" width="14" customWidth="1"/>
  </cols>
  <sheetData>
    <row r="1" spans="2:6" x14ac:dyDescent="0.25">
      <c r="B1" s="93"/>
      <c r="C1" s="93"/>
      <c r="D1" s="94"/>
      <c r="E1" s="94" t="s">
        <v>517</v>
      </c>
      <c r="F1" s="94"/>
    </row>
    <row r="2" spans="2:6" x14ac:dyDescent="0.25">
      <c r="B2" s="93"/>
      <c r="C2" s="93"/>
      <c r="D2" s="94"/>
      <c r="E2" s="94" t="s">
        <v>75</v>
      </c>
      <c r="F2" s="94"/>
    </row>
    <row r="3" spans="2:6" ht="15" customHeight="1" x14ac:dyDescent="0.25">
      <c r="B3" s="93"/>
      <c r="C3" s="93"/>
      <c r="D3" s="95"/>
      <c r="E3" s="452" t="s">
        <v>454</v>
      </c>
      <c r="F3" s="452"/>
    </row>
    <row r="4" spans="2:6" x14ac:dyDescent="0.25">
      <c r="B4" s="93"/>
      <c r="C4" s="93"/>
      <c r="D4" s="94"/>
      <c r="E4" s="94" t="s">
        <v>572</v>
      </c>
      <c r="F4" s="94"/>
    </row>
    <row r="5" spans="2:6" x14ac:dyDescent="0.25">
      <c r="B5" s="93"/>
      <c r="C5" s="93"/>
      <c r="D5" s="96"/>
      <c r="E5" s="96"/>
      <c r="F5" s="93"/>
    </row>
    <row r="6" spans="2:6" x14ac:dyDescent="0.25">
      <c r="B6" s="93"/>
      <c r="C6" s="93"/>
      <c r="D6" s="96"/>
      <c r="E6" s="96"/>
      <c r="F6" s="93"/>
    </row>
    <row r="7" spans="2:6" x14ac:dyDescent="0.25">
      <c r="B7" s="453" t="s">
        <v>406</v>
      </c>
      <c r="C7" s="453"/>
      <c r="D7" s="453"/>
      <c r="E7" s="453"/>
      <c r="F7" s="453"/>
    </row>
    <row r="8" spans="2:6" x14ac:dyDescent="0.25">
      <c r="B8" s="453" t="s">
        <v>455</v>
      </c>
      <c r="C8" s="453"/>
      <c r="D8" s="453"/>
      <c r="E8" s="453"/>
      <c r="F8" s="453"/>
    </row>
    <row r="9" spans="2:6" x14ac:dyDescent="0.25">
      <c r="B9" s="454" t="s">
        <v>574</v>
      </c>
      <c r="C9" s="454"/>
      <c r="D9" s="454"/>
      <c r="E9" s="454"/>
      <c r="F9" s="454"/>
    </row>
    <row r="10" spans="2:6" ht="15.75" thickBot="1" x14ac:dyDescent="0.3">
      <c r="B10" s="93"/>
      <c r="C10" s="93"/>
      <c r="D10" s="96"/>
      <c r="E10" s="97"/>
      <c r="F10" s="149" t="s">
        <v>404</v>
      </c>
    </row>
    <row r="11" spans="2:6" ht="15.75" thickBot="1" x14ac:dyDescent="0.3">
      <c r="B11" s="98" t="s">
        <v>100</v>
      </c>
      <c r="C11" s="98" t="s">
        <v>101</v>
      </c>
      <c r="D11" s="99" t="s">
        <v>382</v>
      </c>
      <c r="E11" s="99" t="s">
        <v>384</v>
      </c>
      <c r="F11" s="99" t="s">
        <v>569</v>
      </c>
    </row>
    <row r="12" spans="2:6" ht="30.75" customHeight="1" x14ac:dyDescent="0.25">
      <c r="B12" s="100" t="s">
        <v>229</v>
      </c>
      <c r="C12" s="101" t="s">
        <v>230</v>
      </c>
      <c r="D12" s="137">
        <f>D13+D46</f>
        <v>8584.9</v>
      </c>
      <c r="E12" s="137">
        <f t="shared" ref="E12:F12" si="0">E13+E46</f>
        <v>6271.1</v>
      </c>
      <c r="F12" s="138">
        <f t="shared" si="0"/>
        <v>5379.3</v>
      </c>
    </row>
    <row r="13" spans="2:6" ht="42" customHeight="1" x14ac:dyDescent="0.25">
      <c r="B13" s="100" t="s">
        <v>231</v>
      </c>
      <c r="C13" s="102" t="s">
        <v>232</v>
      </c>
      <c r="D13" s="139">
        <f>D14+D26+D37+D42</f>
        <v>8584.9</v>
      </c>
      <c r="E13" s="139">
        <f t="shared" ref="E13:F13" si="1">E14+E26+E37+E42</f>
        <v>6271.1</v>
      </c>
      <c r="F13" s="140">
        <f t="shared" si="1"/>
        <v>5379.3</v>
      </c>
    </row>
    <row r="14" spans="2:6" ht="34.5" customHeight="1" x14ac:dyDescent="0.25">
      <c r="B14" s="105" t="s">
        <v>407</v>
      </c>
      <c r="C14" s="106" t="s">
        <v>233</v>
      </c>
      <c r="D14" s="103">
        <f>D15+D23</f>
        <v>7878.7</v>
      </c>
      <c r="E14" s="103">
        <f t="shared" ref="E14:F14" si="2">E15+E23</f>
        <v>5908</v>
      </c>
      <c r="F14" s="104">
        <f t="shared" si="2"/>
        <v>5004</v>
      </c>
    </row>
    <row r="15" spans="2:6" ht="32.25" customHeight="1" x14ac:dyDescent="0.25">
      <c r="B15" s="100" t="s">
        <v>408</v>
      </c>
      <c r="C15" s="102" t="s">
        <v>238</v>
      </c>
      <c r="D15" s="103">
        <f>D16</f>
        <v>909</v>
      </c>
      <c r="E15" s="103">
        <f t="shared" ref="E15:F15" si="3">E16</f>
        <v>0</v>
      </c>
      <c r="F15" s="104">
        <f t="shared" si="3"/>
        <v>0</v>
      </c>
    </row>
    <row r="16" spans="2:6" ht="31.5" customHeight="1" x14ac:dyDescent="0.25">
      <c r="B16" s="105" t="s">
        <v>409</v>
      </c>
      <c r="C16" s="102" t="s">
        <v>238</v>
      </c>
      <c r="D16" s="103">
        <f>SUM(D17:D21)</f>
        <v>909</v>
      </c>
      <c r="E16" s="103">
        <f t="shared" ref="E16:F16" si="4">SUM(E17:E21)</f>
        <v>0</v>
      </c>
      <c r="F16" s="104">
        <f t="shared" si="4"/>
        <v>0</v>
      </c>
    </row>
    <row r="17" spans="2:6" ht="41.25" customHeight="1" x14ac:dyDescent="0.25">
      <c r="B17" s="107" t="s">
        <v>333</v>
      </c>
      <c r="C17" s="108" t="s">
        <v>410</v>
      </c>
      <c r="D17" s="109">
        <v>326</v>
      </c>
      <c r="E17" s="109">
        <f>[2]доходы1!E97</f>
        <v>0</v>
      </c>
      <c r="F17" s="109">
        <f>[2]доходы1!F97</f>
        <v>0</v>
      </c>
    </row>
    <row r="18" spans="2:6" ht="39.75" customHeight="1" x14ac:dyDescent="0.25">
      <c r="B18" s="107" t="s">
        <v>334</v>
      </c>
      <c r="C18" s="110" t="s">
        <v>240</v>
      </c>
      <c r="D18" s="109">
        <f>[2]доходы1!D98</f>
        <v>0</v>
      </c>
      <c r="E18" s="109">
        <f>[2]доходы1!E98</f>
        <v>0</v>
      </c>
      <c r="F18" s="109">
        <f>[2]доходы1!F98</f>
        <v>0</v>
      </c>
    </row>
    <row r="19" spans="2:6" ht="53.25" customHeight="1" x14ac:dyDescent="0.25">
      <c r="B19" s="107" t="s">
        <v>372</v>
      </c>
      <c r="C19" s="110" t="s">
        <v>411</v>
      </c>
      <c r="D19" s="109">
        <v>557</v>
      </c>
      <c r="E19" s="109">
        <f>[2]доходы1!E99</f>
        <v>0</v>
      </c>
      <c r="F19" s="109">
        <f>[2]доходы1!F99</f>
        <v>0</v>
      </c>
    </row>
    <row r="20" spans="2:6" ht="64.5" customHeight="1" x14ac:dyDescent="0.25">
      <c r="B20" s="107" t="s">
        <v>412</v>
      </c>
      <c r="C20" s="110" t="s">
        <v>413</v>
      </c>
      <c r="D20" s="109">
        <f>[2]доходы1!D100</f>
        <v>0</v>
      </c>
      <c r="E20" s="109">
        <f>[2]доходы1!E100</f>
        <v>0</v>
      </c>
      <c r="F20" s="109">
        <f>[2]доходы1!F100</f>
        <v>0</v>
      </c>
    </row>
    <row r="21" spans="2:6" ht="51.75" customHeight="1" x14ac:dyDescent="0.25">
      <c r="B21" s="107" t="s">
        <v>414</v>
      </c>
      <c r="C21" s="110" t="s">
        <v>415</v>
      </c>
      <c r="D21" s="109">
        <v>26</v>
      </c>
      <c r="E21" s="109">
        <f>[2]доходы1!E101</f>
        <v>0</v>
      </c>
      <c r="F21" s="109">
        <f>[2]доходы1!F101</f>
        <v>0</v>
      </c>
    </row>
    <row r="22" spans="2:6" ht="21.75" customHeight="1" x14ac:dyDescent="0.25">
      <c r="B22" s="100" t="s">
        <v>416</v>
      </c>
      <c r="C22" s="111" t="s">
        <v>234</v>
      </c>
      <c r="D22" s="141">
        <f>D23</f>
        <v>6969.7</v>
      </c>
      <c r="E22" s="142">
        <f>E23</f>
        <v>5908</v>
      </c>
      <c r="F22" s="143">
        <f>F23</f>
        <v>5004</v>
      </c>
    </row>
    <row r="23" spans="2:6" ht="33.75" customHeight="1" x14ac:dyDescent="0.25">
      <c r="B23" s="100" t="s">
        <v>417</v>
      </c>
      <c r="C23" s="102" t="s">
        <v>235</v>
      </c>
      <c r="D23" s="103">
        <f>D24+D25</f>
        <v>6969.7</v>
      </c>
      <c r="E23" s="103">
        <f t="shared" ref="E23" si="5">E24+E25</f>
        <v>5908</v>
      </c>
      <c r="F23" s="104">
        <f>F24+F25</f>
        <v>5004</v>
      </c>
    </row>
    <row r="24" spans="2:6" ht="52.5" customHeight="1" x14ac:dyDescent="0.25">
      <c r="B24" s="113" t="s">
        <v>380</v>
      </c>
      <c r="C24" s="114" t="s">
        <v>418</v>
      </c>
      <c r="D24" s="109">
        <v>6877</v>
      </c>
      <c r="E24" s="109">
        <v>5815</v>
      </c>
      <c r="F24" s="109">
        <v>4910</v>
      </c>
    </row>
    <row r="25" spans="2:6" ht="52.5" customHeight="1" x14ac:dyDescent="0.25">
      <c r="B25" s="113" t="s">
        <v>381</v>
      </c>
      <c r="C25" s="114" t="s">
        <v>419</v>
      </c>
      <c r="D25" s="109">
        <v>92.7</v>
      </c>
      <c r="E25" s="109">
        <v>93</v>
      </c>
      <c r="F25" s="109">
        <v>94</v>
      </c>
    </row>
    <row r="26" spans="2:6" ht="31.5" customHeight="1" x14ac:dyDescent="0.25">
      <c r="B26" s="100" t="s">
        <v>369</v>
      </c>
      <c r="C26" s="115" t="s">
        <v>420</v>
      </c>
      <c r="D26" s="103">
        <f>D27+D29+D31+D35+D33</f>
        <v>0</v>
      </c>
      <c r="E26" s="103">
        <f t="shared" ref="E26:F26" si="6">E27+E29+E31+E35+E33</f>
        <v>0</v>
      </c>
      <c r="F26" s="104">
        <f t="shared" si="6"/>
        <v>0</v>
      </c>
    </row>
    <row r="27" spans="2:6" ht="50.25" customHeight="1" x14ac:dyDescent="0.25">
      <c r="B27" s="105" t="s">
        <v>370</v>
      </c>
      <c r="C27" s="116" t="s">
        <v>421</v>
      </c>
      <c r="D27" s="112">
        <f>D28</f>
        <v>0</v>
      </c>
      <c r="E27" s="112">
        <f t="shared" ref="E27:F27" si="7">E28</f>
        <v>0</v>
      </c>
      <c r="F27" s="117">
        <f t="shared" si="7"/>
        <v>0</v>
      </c>
    </row>
    <row r="28" spans="2:6" ht="38.25" customHeight="1" x14ac:dyDescent="0.25">
      <c r="B28" s="107" t="s">
        <v>367</v>
      </c>
      <c r="C28" s="110" t="s">
        <v>422</v>
      </c>
      <c r="D28" s="109">
        <f>[2]доходы1!D108</f>
        <v>0</v>
      </c>
      <c r="E28" s="109">
        <f>[2]доходы1!E108</f>
        <v>0</v>
      </c>
      <c r="F28" s="109">
        <f>[2]доходы1!F108</f>
        <v>0</v>
      </c>
    </row>
    <row r="29" spans="2:6" ht="78.75" customHeight="1" x14ac:dyDescent="0.25">
      <c r="B29" s="105" t="s">
        <v>423</v>
      </c>
      <c r="C29" s="116" t="s">
        <v>424</v>
      </c>
      <c r="D29" s="112">
        <f>D10</f>
        <v>0</v>
      </c>
      <c r="E29" s="112">
        <f>E10</f>
        <v>0</v>
      </c>
      <c r="F29" s="118"/>
    </row>
    <row r="30" spans="2:6" ht="90" customHeight="1" x14ac:dyDescent="0.25">
      <c r="B30" s="119" t="s">
        <v>425</v>
      </c>
      <c r="C30" s="110" t="s">
        <v>426</v>
      </c>
      <c r="D30" s="120">
        <f>[2]доходы1!D110</f>
        <v>0</v>
      </c>
      <c r="E30" s="120">
        <f>[2]доходы1!E110</f>
        <v>0</v>
      </c>
      <c r="F30" s="120">
        <f>[2]доходы1!F110</f>
        <v>0</v>
      </c>
    </row>
    <row r="31" spans="2:6" ht="34.5" customHeight="1" x14ac:dyDescent="0.25">
      <c r="B31" s="105" t="s">
        <v>427</v>
      </c>
      <c r="C31" s="116" t="s">
        <v>428</v>
      </c>
      <c r="D31" s="112">
        <f>D32</f>
        <v>0</v>
      </c>
      <c r="E31" s="112">
        <f t="shared" ref="E31:F31" si="8">E32</f>
        <v>0</v>
      </c>
      <c r="F31" s="117">
        <f t="shared" si="8"/>
        <v>0</v>
      </c>
    </row>
    <row r="32" spans="2:6" ht="43.5" customHeight="1" x14ac:dyDescent="0.25">
      <c r="B32" s="107" t="s">
        <v>429</v>
      </c>
      <c r="C32" s="110" t="s">
        <v>430</v>
      </c>
      <c r="D32" s="109">
        <f>[2]доходы1!D112</f>
        <v>0</v>
      </c>
      <c r="E32" s="109">
        <f>[2]доходы1!E112</f>
        <v>0</v>
      </c>
      <c r="F32" s="109">
        <f>[2]доходы1!F112</f>
        <v>0</v>
      </c>
    </row>
    <row r="33" spans="2:6" ht="30" customHeight="1" x14ac:dyDescent="0.25">
      <c r="B33" s="121" t="s">
        <v>431</v>
      </c>
      <c r="C33" s="116" t="s">
        <v>432</v>
      </c>
      <c r="D33" s="112">
        <f>D34</f>
        <v>0</v>
      </c>
      <c r="E33" s="112">
        <f t="shared" ref="E33:F33" si="9">E34</f>
        <v>0</v>
      </c>
      <c r="F33" s="117">
        <f t="shared" si="9"/>
        <v>0</v>
      </c>
    </row>
    <row r="34" spans="2:6" ht="39.75" customHeight="1" x14ac:dyDescent="0.25">
      <c r="B34" s="122" t="s">
        <v>433</v>
      </c>
      <c r="C34" s="110" t="s">
        <v>434</v>
      </c>
      <c r="D34" s="109">
        <f>[2]доходы1!D114</f>
        <v>0</v>
      </c>
      <c r="E34" s="109">
        <f>[2]доходы1!E114</f>
        <v>0</v>
      </c>
      <c r="F34" s="109">
        <f>[2]доходы1!F114</f>
        <v>0</v>
      </c>
    </row>
    <row r="35" spans="2:6" ht="18" customHeight="1" x14ac:dyDescent="0.25">
      <c r="B35" s="105" t="s">
        <v>435</v>
      </c>
      <c r="C35" s="116" t="s">
        <v>436</v>
      </c>
      <c r="D35" s="112">
        <f>D36</f>
        <v>0</v>
      </c>
      <c r="E35" s="112">
        <f t="shared" ref="E35:F35" si="10">E36</f>
        <v>0</v>
      </c>
      <c r="F35" s="117">
        <f t="shared" si="10"/>
        <v>0</v>
      </c>
    </row>
    <row r="36" spans="2:6" ht="18" customHeight="1" x14ac:dyDescent="0.25">
      <c r="B36" s="107" t="s">
        <v>341</v>
      </c>
      <c r="C36" s="123" t="s">
        <v>437</v>
      </c>
      <c r="D36" s="109">
        <f>[2]доходы1!D116</f>
        <v>0</v>
      </c>
      <c r="E36" s="109">
        <f>[2]доходы1!E116</f>
        <v>0</v>
      </c>
      <c r="F36" s="109"/>
    </row>
    <row r="37" spans="2:6" ht="30.75" customHeight="1" x14ac:dyDescent="0.25">
      <c r="B37" s="124" t="s">
        <v>359</v>
      </c>
      <c r="C37" s="125" t="s">
        <v>438</v>
      </c>
      <c r="D37" s="136">
        <f>D38+D40</f>
        <v>347.2</v>
      </c>
      <c r="E37" s="139">
        <f t="shared" ref="E37:F37" si="11">E38+E40</f>
        <v>363.09999999999997</v>
      </c>
      <c r="F37" s="140">
        <f t="shared" si="11"/>
        <v>375.29999999999995</v>
      </c>
    </row>
    <row r="38" spans="2:6" ht="41.25" customHeight="1" x14ac:dyDescent="0.25">
      <c r="B38" s="121" t="s">
        <v>361</v>
      </c>
      <c r="C38" s="111" t="s">
        <v>439</v>
      </c>
      <c r="D38" s="144" t="str">
        <f>D39</f>
        <v>321,30</v>
      </c>
      <c r="E38" s="146" t="str">
        <f t="shared" ref="E38:F38" si="12">E39</f>
        <v>336,20</v>
      </c>
      <c r="F38" s="147" t="str">
        <f t="shared" si="12"/>
        <v>348,40</v>
      </c>
    </row>
    <row r="39" spans="2:6" ht="62.25" customHeight="1" x14ac:dyDescent="0.25">
      <c r="B39" s="122" t="s">
        <v>337</v>
      </c>
      <c r="C39" s="126" t="s">
        <v>440</v>
      </c>
      <c r="D39" s="145" t="s">
        <v>575</v>
      </c>
      <c r="E39" s="148" t="s">
        <v>563</v>
      </c>
      <c r="F39" s="148" t="s">
        <v>576</v>
      </c>
    </row>
    <row r="40" spans="2:6" ht="29.25" customHeight="1" x14ac:dyDescent="0.25">
      <c r="B40" s="121" t="s">
        <v>360</v>
      </c>
      <c r="C40" s="111" t="s">
        <v>441</v>
      </c>
      <c r="D40" s="112">
        <f>D41</f>
        <v>25.9</v>
      </c>
      <c r="E40" s="112">
        <f t="shared" ref="E40:F40" si="13">E41</f>
        <v>26.9</v>
      </c>
      <c r="F40" s="117">
        <f t="shared" si="13"/>
        <v>26.9</v>
      </c>
    </row>
    <row r="41" spans="2:6" ht="45.75" customHeight="1" x14ac:dyDescent="0.25">
      <c r="B41" s="127" t="s">
        <v>343</v>
      </c>
      <c r="C41" s="114" t="s">
        <v>442</v>
      </c>
      <c r="D41" s="120">
        <v>25.9</v>
      </c>
      <c r="E41" s="120">
        <v>26.9</v>
      </c>
      <c r="F41" s="120">
        <v>26.9</v>
      </c>
    </row>
    <row r="42" spans="2:6" ht="21" customHeight="1" x14ac:dyDescent="0.25">
      <c r="B42" s="124" t="s">
        <v>443</v>
      </c>
      <c r="C42" s="125" t="s">
        <v>444</v>
      </c>
      <c r="D42" s="128">
        <f>D43</f>
        <v>359</v>
      </c>
      <c r="E42" s="128">
        <f t="shared" ref="E42:F44" si="14">E43</f>
        <v>0</v>
      </c>
      <c r="F42" s="129">
        <f t="shared" si="14"/>
        <v>0</v>
      </c>
    </row>
    <row r="43" spans="2:6" ht="32.25" customHeight="1" x14ac:dyDescent="0.25">
      <c r="B43" s="121" t="s">
        <v>445</v>
      </c>
      <c r="C43" s="111" t="s">
        <v>446</v>
      </c>
      <c r="D43" s="112">
        <f>D44</f>
        <v>359</v>
      </c>
      <c r="E43" s="112">
        <f t="shared" si="14"/>
        <v>0</v>
      </c>
      <c r="F43" s="117">
        <f t="shared" si="14"/>
        <v>0</v>
      </c>
    </row>
    <row r="44" spans="2:6" ht="29.25" customHeight="1" x14ac:dyDescent="0.25">
      <c r="B44" s="121" t="s">
        <v>345</v>
      </c>
      <c r="C44" s="111" t="s">
        <v>447</v>
      </c>
      <c r="D44" s="112">
        <f>D45</f>
        <v>359</v>
      </c>
      <c r="E44" s="112">
        <f t="shared" si="14"/>
        <v>0</v>
      </c>
      <c r="F44" s="117">
        <f t="shared" si="14"/>
        <v>0</v>
      </c>
    </row>
    <row r="45" spans="2:6" ht="57.75" customHeight="1" x14ac:dyDescent="0.25">
      <c r="B45" s="130" t="s">
        <v>374</v>
      </c>
      <c r="C45" s="131" t="s">
        <v>448</v>
      </c>
      <c r="D45" s="132">
        <v>359</v>
      </c>
      <c r="E45" s="132">
        <f>[2]доходы1!E125</f>
        <v>0</v>
      </c>
      <c r="F45" s="132">
        <f>[2]доходы1!F125</f>
        <v>0</v>
      </c>
    </row>
    <row r="46" spans="2:6" ht="22.5" customHeight="1" x14ac:dyDescent="0.25">
      <c r="B46" s="100" t="s">
        <v>270</v>
      </c>
      <c r="C46" s="102" t="s">
        <v>449</v>
      </c>
      <c r="D46" s="103">
        <f>D47+D48</f>
        <v>0</v>
      </c>
      <c r="E46" s="133">
        <f>E47</f>
        <v>0</v>
      </c>
      <c r="F46" s="134">
        <f>F47</f>
        <v>0</v>
      </c>
    </row>
    <row r="47" spans="2:6" ht="32.25" customHeight="1" x14ac:dyDescent="0.25">
      <c r="B47" s="135" t="s">
        <v>450</v>
      </c>
      <c r="C47" s="111" t="s">
        <v>451</v>
      </c>
      <c r="D47" s="112">
        <f>D48</f>
        <v>0</v>
      </c>
      <c r="E47" s="112">
        <f t="shared" ref="E47:F47" si="15">E48</f>
        <v>0</v>
      </c>
      <c r="F47" s="117">
        <f t="shared" si="15"/>
        <v>0</v>
      </c>
    </row>
    <row r="48" spans="2:6" ht="39.75" customHeight="1" x14ac:dyDescent="0.25">
      <c r="B48" s="130" t="s">
        <v>452</v>
      </c>
      <c r="C48" s="131" t="s">
        <v>453</v>
      </c>
      <c r="D48" s="132">
        <f>[2]доходы1!D128</f>
        <v>0</v>
      </c>
      <c r="E48" s="132">
        <f>[2]доходы1!E128</f>
        <v>0</v>
      </c>
      <c r="F48" s="132">
        <f>[2]доходы1!F128</f>
        <v>0</v>
      </c>
    </row>
  </sheetData>
  <mergeCells count="4">
    <mergeCell ref="E3:F3"/>
    <mergeCell ref="B7:F7"/>
    <mergeCell ref="B8:F8"/>
    <mergeCell ref="B9:F9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workbookViewId="0">
      <selection activeCell="D6" sqref="D6"/>
    </sheetView>
  </sheetViews>
  <sheetFormatPr defaultRowHeight="15" x14ac:dyDescent="0.25"/>
  <cols>
    <col min="1" max="1" width="5.5703125" customWidth="1"/>
    <col min="2" max="2" width="47.5703125" customWidth="1"/>
    <col min="3" max="3" width="12.140625" customWidth="1"/>
    <col min="4" max="4" width="20.7109375" customWidth="1"/>
    <col min="5" max="5" width="12.28515625" customWidth="1"/>
  </cols>
  <sheetData>
    <row r="1" spans="1:5" ht="93.75" customHeight="1" x14ac:dyDescent="0.25">
      <c r="B1" s="200" t="s">
        <v>568</v>
      </c>
      <c r="D1" s="95" t="s">
        <v>578</v>
      </c>
      <c r="E1" s="94"/>
    </row>
    <row r="2" spans="1:5" ht="27" customHeight="1" x14ac:dyDescent="0.25">
      <c r="A2" s="455" t="s">
        <v>577</v>
      </c>
      <c r="B2" s="455"/>
      <c r="C2" s="455"/>
      <c r="D2" s="455"/>
      <c r="E2" s="455"/>
    </row>
    <row r="3" spans="1:5" x14ac:dyDescent="0.25">
      <c r="A3" s="150"/>
      <c r="B3" s="150"/>
      <c r="C3" s="150"/>
      <c r="D3" s="150"/>
      <c r="E3" s="150"/>
    </row>
    <row r="4" spans="1:5" x14ac:dyDescent="0.25">
      <c r="A4" s="150"/>
      <c r="B4" s="150"/>
      <c r="C4" s="150"/>
      <c r="D4" s="150"/>
      <c r="E4" s="181" t="s">
        <v>456</v>
      </c>
    </row>
    <row r="5" spans="1:5" x14ac:dyDescent="0.25">
      <c r="A5" s="151" t="s">
        <v>85</v>
      </c>
      <c r="B5" s="151" t="s">
        <v>101</v>
      </c>
      <c r="C5" s="202" t="s">
        <v>382</v>
      </c>
      <c r="D5" s="202" t="s">
        <v>384</v>
      </c>
      <c r="E5" s="202" t="s">
        <v>569</v>
      </c>
    </row>
    <row r="6" spans="1:5" ht="48" customHeight="1" x14ac:dyDescent="0.25">
      <c r="A6" s="151" t="s">
        <v>457</v>
      </c>
      <c r="B6" s="152" t="s">
        <v>458</v>
      </c>
      <c r="C6" s="151">
        <v>55.4</v>
      </c>
      <c r="D6" s="151"/>
      <c r="E6" s="151"/>
    </row>
    <row r="7" spans="1:5" ht="34.5" customHeight="1" x14ac:dyDescent="0.25">
      <c r="A7" s="151" t="s">
        <v>459</v>
      </c>
      <c r="B7" s="152" t="s">
        <v>460</v>
      </c>
      <c r="C7" s="151">
        <v>8</v>
      </c>
      <c r="D7" s="151">
        <v>8</v>
      </c>
      <c r="E7" s="151">
        <v>8</v>
      </c>
    </row>
    <row r="8" spans="1:5" x14ac:dyDescent="0.25">
      <c r="A8" s="151"/>
      <c r="B8" s="152" t="s">
        <v>98</v>
      </c>
      <c r="C8" s="151">
        <f>C6+C7</f>
        <v>63.4</v>
      </c>
      <c r="D8" s="151">
        <f t="shared" ref="D8:E8" si="0">D6+D7</f>
        <v>8</v>
      </c>
      <c r="E8" s="151">
        <f t="shared" si="0"/>
        <v>8</v>
      </c>
    </row>
  </sheetData>
  <mergeCells count="1">
    <mergeCell ref="A2:E2"/>
  </mergeCells>
  <pageMargins left="0.7" right="0.7" top="0.75" bottom="0.75" header="0.3" footer="0.3"/>
  <pageSetup paperSize="9" scale="88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SheetLayoutView="100" workbookViewId="0">
      <selection activeCell="C12" sqref="C12"/>
    </sheetView>
  </sheetViews>
  <sheetFormatPr defaultRowHeight="12.75" x14ac:dyDescent="0.2"/>
  <cols>
    <col min="1" max="1" width="54" style="1" customWidth="1"/>
    <col min="2" max="4" width="10.5703125" style="1" customWidth="1"/>
    <col min="5" max="256" width="9.140625" style="1"/>
    <col min="257" max="257" width="64.7109375" style="1" bestFit="1" customWidth="1"/>
    <col min="258" max="260" width="10.5703125" style="1" customWidth="1"/>
    <col min="261" max="512" width="9.140625" style="1"/>
    <col min="513" max="513" width="64.7109375" style="1" bestFit="1" customWidth="1"/>
    <col min="514" max="516" width="10.5703125" style="1" customWidth="1"/>
    <col min="517" max="768" width="9.140625" style="1"/>
    <col min="769" max="769" width="64.7109375" style="1" bestFit="1" customWidth="1"/>
    <col min="770" max="772" width="10.5703125" style="1" customWidth="1"/>
    <col min="773" max="1024" width="9.140625" style="1"/>
    <col min="1025" max="1025" width="64.7109375" style="1" bestFit="1" customWidth="1"/>
    <col min="1026" max="1028" width="10.5703125" style="1" customWidth="1"/>
    <col min="1029" max="1280" width="9.140625" style="1"/>
    <col min="1281" max="1281" width="64.7109375" style="1" bestFit="1" customWidth="1"/>
    <col min="1282" max="1284" width="10.5703125" style="1" customWidth="1"/>
    <col min="1285" max="1536" width="9.140625" style="1"/>
    <col min="1537" max="1537" width="64.7109375" style="1" bestFit="1" customWidth="1"/>
    <col min="1538" max="1540" width="10.5703125" style="1" customWidth="1"/>
    <col min="1541" max="1792" width="9.140625" style="1"/>
    <col min="1793" max="1793" width="64.7109375" style="1" bestFit="1" customWidth="1"/>
    <col min="1794" max="1796" width="10.5703125" style="1" customWidth="1"/>
    <col min="1797" max="2048" width="9.140625" style="1"/>
    <col min="2049" max="2049" width="64.7109375" style="1" bestFit="1" customWidth="1"/>
    <col min="2050" max="2052" width="10.5703125" style="1" customWidth="1"/>
    <col min="2053" max="2304" width="9.140625" style="1"/>
    <col min="2305" max="2305" width="64.7109375" style="1" bestFit="1" customWidth="1"/>
    <col min="2306" max="2308" width="10.5703125" style="1" customWidth="1"/>
    <col min="2309" max="2560" width="9.140625" style="1"/>
    <col min="2561" max="2561" width="64.7109375" style="1" bestFit="1" customWidth="1"/>
    <col min="2562" max="2564" width="10.5703125" style="1" customWidth="1"/>
    <col min="2565" max="2816" width="9.140625" style="1"/>
    <col min="2817" max="2817" width="64.7109375" style="1" bestFit="1" customWidth="1"/>
    <col min="2818" max="2820" width="10.5703125" style="1" customWidth="1"/>
    <col min="2821" max="3072" width="9.140625" style="1"/>
    <col min="3073" max="3073" width="64.7109375" style="1" bestFit="1" customWidth="1"/>
    <col min="3074" max="3076" width="10.5703125" style="1" customWidth="1"/>
    <col min="3077" max="3328" width="9.140625" style="1"/>
    <col min="3329" max="3329" width="64.7109375" style="1" bestFit="1" customWidth="1"/>
    <col min="3330" max="3332" width="10.5703125" style="1" customWidth="1"/>
    <col min="3333" max="3584" width="9.140625" style="1"/>
    <col min="3585" max="3585" width="64.7109375" style="1" bestFit="1" customWidth="1"/>
    <col min="3586" max="3588" width="10.5703125" style="1" customWidth="1"/>
    <col min="3589" max="3840" width="9.140625" style="1"/>
    <col min="3841" max="3841" width="64.7109375" style="1" bestFit="1" customWidth="1"/>
    <col min="3842" max="3844" width="10.5703125" style="1" customWidth="1"/>
    <col min="3845" max="4096" width="9.140625" style="1"/>
    <col min="4097" max="4097" width="64.7109375" style="1" bestFit="1" customWidth="1"/>
    <col min="4098" max="4100" width="10.5703125" style="1" customWidth="1"/>
    <col min="4101" max="4352" width="9.140625" style="1"/>
    <col min="4353" max="4353" width="64.7109375" style="1" bestFit="1" customWidth="1"/>
    <col min="4354" max="4356" width="10.5703125" style="1" customWidth="1"/>
    <col min="4357" max="4608" width="9.140625" style="1"/>
    <col min="4609" max="4609" width="64.7109375" style="1" bestFit="1" customWidth="1"/>
    <col min="4610" max="4612" width="10.5703125" style="1" customWidth="1"/>
    <col min="4613" max="4864" width="9.140625" style="1"/>
    <col min="4865" max="4865" width="64.7109375" style="1" bestFit="1" customWidth="1"/>
    <col min="4866" max="4868" width="10.5703125" style="1" customWidth="1"/>
    <col min="4869" max="5120" width="9.140625" style="1"/>
    <col min="5121" max="5121" width="64.7109375" style="1" bestFit="1" customWidth="1"/>
    <col min="5122" max="5124" width="10.5703125" style="1" customWidth="1"/>
    <col min="5125" max="5376" width="9.140625" style="1"/>
    <col min="5377" max="5377" width="64.7109375" style="1" bestFit="1" customWidth="1"/>
    <col min="5378" max="5380" width="10.5703125" style="1" customWidth="1"/>
    <col min="5381" max="5632" width="9.140625" style="1"/>
    <col min="5633" max="5633" width="64.7109375" style="1" bestFit="1" customWidth="1"/>
    <col min="5634" max="5636" width="10.5703125" style="1" customWidth="1"/>
    <col min="5637" max="5888" width="9.140625" style="1"/>
    <col min="5889" max="5889" width="64.7109375" style="1" bestFit="1" customWidth="1"/>
    <col min="5890" max="5892" width="10.5703125" style="1" customWidth="1"/>
    <col min="5893" max="6144" width="9.140625" style="1"/>
    <col min="6145" max="6145" width="64.7109375" style="1" bestFit="1" customWidth="1"/>
    <col min="6146" max="6148" width="10.5703125" style="1" customWidth="1"/>
    <col min="6149" max="6400" width="9.140625" style="1"/>
    <col min="6401" max="6401" width="64.7109375" style="1" bestFit="1" customWidth="1"/>
    <col min="6402" max="6404" width="10.5703125" style="1" customWidth="1"/>
    <col min="6405" max="6656" width="9.140625" style="1"/>
    <col min="6657" max="6657" width="64.7109375" style="1" bestFit="1" customWidth="1"/>
    <col min="6658" max="6660" width="10.5703125" style="1" customWidth="1"/>
    <col min="6661" max="6912" width="9.140625" style="1"/>
    <col min="6913" max="6913" width="64.7109375" style="1" bestFit="1" customWidth="1"/>
    <col min="6914" max="6916" width="10.5703125" style="1" customWidth="1"/>
    <col min="6917" max="7168" width="9.140625" style="1"/>
    <col min="7169" max="7169" width="64.7109375" style="1" bestFit="1" customWidth="1"/>
    <col min="7170" max="7172" width="10.5703125" style="1" customWidth="1"/>
    <col min="7173" max="7424" width="9.140625" style="1"/>
    <col min="7425" max="7425" width="64.7109375" style="1" bestFit="1" customWidth="1"/>
    <col min="7426" max="7428" width="10.5703125" style="1" customWidth="1"/>
    <col min="7429" max="7680" width="9.140625" style="1"/>
    <col min="7681" max="7681" width="64.7109375" style="1" bestFit="1" customWidth="1"/>
    <col min="7682" max="7684" width="10.5703125" style="1" customWidth="1"/>
    <col min="7685" max="7936" width="9.140625" style="1"/>
    <col min="7937" max="7937" width="64.7109375" style="1" bestFit="1" customWidth="1"/>
    <col min="7938" max="7940" width="10.5703125" style="1" customWidth="1"/>
    <col min="7941" max="8192" width="9.140625" style="1"/>
    <col min="8193" max="8193" width="64.7109375" style="1" bestFit="1" customWidth="1"/>
    <col min="8194" max="8196" width="10.5703125" style="1" customWidth="1"/>
    <col min="8197" max="8448" width="9.140625" style="1"/>
    <col min="8449" max="8449" width="64.7109375" style="1" bestFit="1" customWidth="1"/>
    <col min="8450" max="8452" width="10.5703125" style="1" customWidth="1"/>
    <col min="8453" max="8704" width="9.140625" style="1"/>
    <col min="8705" max="8705" width="64.7109375" style="1" bestFit="1" customWidth="1"/>
    <col min="8706" max="8708" width="10.5703125" style="1" customWidth="1"/>
    <col min="8709" max="8960" width="9.140625" style="1"/>
    <col min="8961" max="8961" width="64.7109375" style="1" bestFit="1" customWidth="1"/>
    <col min="8962" max="8964" width="10.5703125" style="1" customWidth="1"/>
    <col min="8965" max="9216" width="9.140625" style="1"/>
    <col min="9217" max="9217" width="64.7109375" style="1" bestFit="1" customWidth="1"/>
    <col min="9218" max="9220" width="10.5703125" style="1" customWidth="1"/>
    <col min="9221" max="9472" width="9.140625" style="1"/>
    <col min="9473" max="9473" width="64.7109375" style="1" bestFit="1" customWidth="1"/>
    <col min="9474" max="9476" width="10.5703125" style="1" customWidth="1"/>
    <col min="9477" max="9728" width="9.140625" style="1"/>
    <col min="9729" max="9729" width="64.7109375" style="1" bestFit="1" customWidth="1"/>
    <col min="9730" max="9732" width="10.5703125" style="1" customWidth="1"/>
    <col min="9733" max="9984" width="9.140625" style="1"/>
    <col min="9985" max="9985" width="64.7109375" style="1" bestFit="1" customWidth="1"/>
    <col min="9986" max="9988" width="10.5703125" style="1" customWidth="1"/>
    <col min="9989" max="10240" width="9.140625" style="1"/>
    <col min="10241" max="10241" width="64.7109375" style="1" bestFit="1" customWidth="1"/>
    <col min="10242" max="10244" width="10.5703125" style="1" customWidth="1"/>
    <col min="10245" max="10496" width="9.140625" style="1"/>
    <col min="10497" max="10497" width="64.7109375" style="1" bestFit="1" customWidth="1"/>
    <col min="10498" max="10500" width="10.5703125" style="1" customWidth="1"/>
    <col min="10501" max="10752" width="9.140625" style="1"/>
    <col min="10753" max="10753" width="64.7109375" style="1" bestFit="1" customWidth="1"/>
    <col min="10754" max="10756" width="10.5703125" style="1" customWidth="1"/>
    <col min="10757" max="11008" width="9.140625" style="1"/>
    <col min="11009" max="11009" width="64.7109375" style="1" bestFit="1" customWidth="1"/>
    <col min="11010" max="11012" width="10.5703125" style="1" customWidth="1"/>
    <col min="11013" max="11264" width="9.140625" style="1"/>
    <col min="11265" max="11265" width="64.7109375" style="1" bestFit="1" customWidth="1"/>
    <col min="11266" max="11268" width="10.5703125" style="1" customWidth="1"/>
    <col min="11269" max="11520" width="9.140625" style="1"/>
    <col min="11521" max="11521" width="64.7109375" style="1" bestFit="1" customWidth="1"/>
    <col min="11522" max="11524" width="10.5703125" style="1" customWidth="1"/>
    <col min="11525" max="11776" width="9.140625" style="1"/>
    <col min="11777" max="11777" width="64.7109375" style="1" bestFit="1" customWidth="1"/>
    <col min="11778" max="11780" width="10.5703125" style="1" customWidth="1"/>
    <col min="11781" max="12032" width="9.140625" style="1"/>
    <col min="12033" max="12033" width="64.7109375" style="1" bestFit="1" customWidth="1"/>
    <col min="12034" max="12036" width="10.5703125" style="1" customWidth="1"/>
    <col min="12037" max="12288" width="9.140625" style="1"/>
    <col min="12289" max="12289" width="64.7109375" style="1" bestFit="1" customWidth="1"/>
    <col min="12290" max="12292" width="10.5703125" style="1" customWidth="1"/>
    <col min="12293" max="12544" width="9.140625" style="1"/>
    <col min="12545" max="12545" width="64.7109375" style="1" bestFit="1" customWidth="1"/>
    <col min="12546" max="12548" width="10.5703125" style="1" customWidth="1"/>
    <col min="12549" max="12800" width="9.140625" style="1"/>
    <col min="12801" max="12801" width="64.7109375" style="1" bestFit="1" customWidth="1"/>
    <col min="12802" max="12804" width="10.5703125" style="1" customWidth="1"/>
    <col min="12805" max="13056" width="9.140625" style="1"/>
    <col min="13057" max="13057" width="64.7109375" style="1" bestFit="1" customWidth="1"/>
    <col min="13058" max="13060" width="10.5703125" style="1" customWidth="1"/>
    <col min="13061" max="13312" width="9.140625" style="1"/>
    <col min="13313" max="13313" width="64.7109375" style="1" bestFit="1" customWidth="1"/>
    <col min="13314" max="13316" width="10.5703125" style="1" customWidth="1"/>
    <col min="13317" max="13568" width="9.140625" style="1"/>
    <col min="13569" max="13569" width="64.7109375" style="1" bestFit="1" customWidth="1"/>
    <col min="13570" max="13572" width="10.5703125" style="1" customWidth="1"/>
    <col min="13573" max="13824" width="9.140625" style="1"/>
    <col min="13825" max="13825" width="64.7109375" style="1" bestFit="1" customWidth="1"/>
    <col min="13826" max="13828" width="10.5703125" style="1" customWidth="1"/>
    <col min="13829" max="14080" width="9.140625" style="1"/>
    <col min="14081" max="14081" width="64.7109375" style="1" bestFit="1" customWidth="1"/>
    <col min="14082" max="14084" width="10.5703125" style="1" customWidth="1"/>
    <col min="14085" max="14336" width="9.140625" style="1"/>
    <col min="14337" max="14337" width="64.7109375" style="1" bestFit="1" customWidth="1"/>
    <col min="14338" max="14340" width="10.5703125" style="1" customWidth="1"/>
    <col min="14341" max="14592" width="9.140625" style="1"/>
    <col min="14593" max="14593" width="64.7109375" style="1" bestFit="1" customWidth="1"/>
    <col min="14594" max="14596" width="10.5703125" style="1" customWidth="1"/>
    <col min="14597" max="14848" width="9.140625" style="1"/>
    <col min="14849" max="14849" width="64.7109375" style="1" bestFit="1" customWidth="1"/>
    <col min="14850" max="14852" width="10.5703125" style="1" customWidth="1"/>
    <col min="14853" max="15104" width="9.140625" style="1"/>
    <col min="15105" max="15105" width="64.7109375" style="1" bestFit="1" customWidth="1"/>
    <col min="15106" max="15108" width="10.5703125" style="1" customWidth="1"/>
    <col min="15109" max="15360" width="9.140625" style="1"/>
    <col min="15361" max="15361" width="64.7109375" style="1" bestFit="1" customWidth="1"/>
    <col min="15362" max="15364" width="10.5703125" style="1" customWidth="1"/>
    <col min="15365" max="15616" width="9.140625" style="1"/>
    <col min="15617" max="15617" width="64.7109375" style="1" bestFit="1" customWidth="1"/>
    <col min="15618" max="15620" width="10.5703125" style="1" customWidth="1"/>
    <col min="15621" max="15872" width="9.140625" style="1"/>
    <col min="15873" max="15873" width="64.7109375" style="1" bestFit="1" customWidth="1"/>
    <col min="15874" max="15876" width="10.5703125" style="1" customWidth="1"/>
    <col min="15877" max="16128" width="9.140625" style="1"/>
    <col min="16129" max="16129" width="64.7109375" style="1" bestFit="1" customWidth="1"/>
    <col min="16130" max="16132" width="10.5703125" style="1" customWidth="1"/>
    <col min="16133" max="16384" width="9.140625" style="1"/>
  </cols>
  <sheetData>
    <row r="1" spans="1:7" x14ac:dyDescent="0.2">
      <c r="B1" s="458" t="s">
        <v>518</v>
      </c>
      <c r="C1" s="458"/>
      <c r="D1" s="458"/>
    </row>
    <row r="2" spans="1:7" x14ac:dyDescent="0.2">
      <c r="B2" s="458" t="s">
        <v>75</v>
      </c>
      <c r="C2" s="458"/>
      <c r="D2" s="458"/>
    </row>
    <row r="3" spans="1:7" ht="12.75" customHeight="1" x14ac:dyDescent="0.2">
      <c r="B3" s="459" t="s">
        <v>316</v>
      </c>
      <c r="C3" s="459"/>
      <c r="D3" s="459"/>
    </row>
    <row r="4" spans="1:7" x14ac:dyDescent="0.2">
      <c r="B4" s="458" t="s">
        <v>570</v>
      </c>
      <c r="C4" s="458"/>
      <c r="D4" s="458"/>
    </row>
    <row r="5" spans="1:7" x14ac:dyDescent="0.2">
      <c r="B5" s="2"/>
      <c r="C5" s="2"/>
      <c r="D5" s="2"/>
    </row>
    <row r="6" spans="1:7" ht="57" customHeight="1" x14ac:dyDescent="0.25">
      <c r="A6" s="434" t="s">
        <v>584</v>
      </c>
      <c r="B6" s="434"/>
      <c r="C6" s="434"/>
      <c r="D6" s="434"/>
      <c r="G6" s="1" t="s">
        <v>76</v>
      </c>
    </row>
    <row r="7" spans="1:7" ht="15.75" x14ac:dyDescent="0.25">
      <c r="A7" s="3"/>
    </row>
    <row r="8" spans="1:7" ht="81" customHeight="1" x14ac:dyDescent="0.2">
      <c r="A8" s="460" t="s">
        <v>571</v>
      </c>
      <c r="B8" s="460"/>
      <c r="C8" s="460"/>
      <c r="D8" s="460"/>
    </row>
    <row r="9" spans="1:7" ht="23.25" customHeight="1" x14ac:dyDescent="0.25">
      <c r="A9" s="4"/>
      <c r="B9" s="4"/>
      <c r="C9" s="456" t="s">
        <v>73</v>
      </c>
      <c r="D9" s="456"/>
    </row>
    <row r="10" spans="1:7" ht="15.75" x14ac:dyDescent="0.2">
      <c r="A10" s="457" t="s">
        <v>77</v>
      </c>
      <c r="B10" s="457" t="s">
        <v>78</v>
      </c>
      <c r="C10" s="457"/>
      <c r="D10" s="457"/>
    </row>
    <row r="11" spans="1:7" ht="15.75" x14ac:dyDescent="0.2">
      <c r="A11" s="457"/>
      <c r="B11" s="5" t="s">
        <v>382</v>
      </c>
      <c r="C11" s="5" t="s">
        <v>384</v>
      </c>
      <c r="D11" s="5" t="s">
        <v>569</v>
      </c>
    </row>
    <row r="12" spans="1:7" ht="31.5" x14ac:dyDescent="0.25">
      <c r="A12" s="6" t="s">
        <v>79</v>
      </c>
      <c r="B12" s="7"/>
      <c r="C12" s="7"/>
      <c r="D12" s="7"/>
    </row>
    <row r="13" spans="1:7" ht="31.5" x14ac:dyDescent="0.25">
      <c r="A13" s="8" t="s">
        <v>80</v>
      </c>
      <c r="B13" s="9">
        <v>0</v>
      </c>
      <c r="C13" s="9">
        <v>0</v>
      </c>
      <c r="D13" s="9">
        <v>0</v>
      </c>
    </row>
    <row r="14" spans="1:7" ht="31.5" x14ac:dyDescent="0.25">
      <c r="A14" s="6" t="s">
        <v>81</v>
      </c>
      <c r="B14" s="7">
        <v>0</v>
      </c>
      <c r="C14" s="7">
        <v>0</v>
      </c>
      <c r="D14" s="7">
        <v>0</v>
      </c>
    </row>
    <row r="15" spans="1:7" ht="31.5" x14ac:dyDescent="0.25">
      <c r="A15" s="6" t="s">
        <v>82</v>
      </c>
      <c r="B15" s="7">
        <v>0</v>
      </c>
      <c r="C15" s="7">
        <v>0</v>
      </c>
      <c r="D15" s="7">
        <v>0</v>
      </c>
    </row>
    <row r="16" spans="1:7" ht="31.5" x14ac:dyDescent="0.25">
      <c r="A16" s="8" t="s">
        <v>83</v>
      </c>
      <c r="B16" s="9">
        <v>0</v>
      </c>
      <c r="C16" s="9">
        <v>0</v>
      </c>
      <c r="D16" s="9">
        <v>0</v>
      </c>
    </row>
  </sheetData>
  <mergeCells count="9">
    <mergeCell ref="C9:D9"/>
    <mergeCell ref="A10:A11"/>
    <mergeCell ref="B10:D10"/>
    <mergeCell ref="B1:D1"/>
    <mergeCell ref="B2:D2"/>
    <mergeCell ref="B3:D3"/>
    <mergeCell ref="B4:D4"/>
    <mergeCell ref="A6:D6"/>
    <mergeCell ref="A8:D8"/>
  </mergeCells>
  <pageMargins left="0.61" right="0.17" top="0.2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</vt:i4>
      </vt:variant>
    </vt:vector>
  </HeadingPairs>
  <TitlesOfParts>
    <vt:vector size="17" baseType="lpstr">
      <vt:lpstr>нарматив дох</vt:lpstr>
      <vt:lpstr>доходы</vt:lpstr>
      <vt:lpstr>Ведомст (тыс.руб)</vt:lpstr>
      <vt:lpstr>функц (тыс.руб)</vt:lpstr>
      <vt:lpstr>РзПр (тыс.руб)</vt:lpstr>
      <vt:lpstr>КЦСР (тыс.руб)</vt:lpstr>
      <vt:lpstr>МБТ</vt:lpstr>
      <vt:lpstr>МБТ району</vt:lpstr>
      <vt:lpstr>прогр замств</vt:lpstr>
      <vt:lpstr>Мин бюджет</vt:lpstr>
      <vt:lpstr>Публ-прав обяз</vt:lpstr>
      <vt:lpstr>Методика</vt:lpstr>
      <vt:lpstr>муниц гарант</vt:lpstr>
      <vt:lpstr>доходы!Область_печати</vt:lpstr>
      <vt:lpstr>'муниц гарант'!Область_печати</vt:lpstr>
      <vt:lpstr>'нарматив дох'!Область_печати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2022-11-25T05:45:53Z</cp:lastPrinted>
  <dcterms:created xsi:type="dcterms:W3CDTF">2016-11-24T08:46:03Z</dcterms:created>
  <dcterms:modified xsi:type="dcterms:W3CDTF">2022-11-29T07:30:48Z</dcterms:modified>
</cp:coreProperties>
</file>